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1010"/>
  <workbookPr defaultThemeVersion="166925"/>
  <mc:AlternateContent xmlns:mc="http://schemas.openxmlformats.org/markup-compatibility/2006">
    <mc:Choice Requires="x15">
      <x15ac:absPath xmlns:x15ac="http://schemas.microsoft.com/office/spreadsheetml/2010/11/ac" url="/Users/altieri/Downloads/"/>
    </mc:Choice>
  </mc:AlternateContent>
  <xr:revisionPtr revIDLastSave="0" documentId="8_{93627598-479D-0143-9124-F447D12448CB}" xr6:coauthVersionLast="47" xr6:coauthVersionMax="47" xr10:uidLastSave="{00000000-0000-0000-0000-000000000000}"/>
  <bookViews>
    <workbookView xWindow="11580" yWindow="5460" windowWidth="28040" windowHeight="17440"/>
  </bookViews>
  <sheets>
    <sheet name="190_2021_export" sheetId="1" r:id="rId1"/>
  </sheet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A2" i="1" l="1"/>
  <c r="A3" i="1"/>
  <c r="A4" i="1"/>
  <c r="A5" i="1"/>
  <c r="A6" i="1"/>
  <c r="A7" i="1"/>
  <c r="A8" i="1"/>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2" i="1"/>
  <c r="A93" i="1"/>
  <c r="A94" i="1"/>
  <c r="A95" i="1"/>
  <c r="A96" i="1"/>
  <c r="A97" i="1"/>
  <c r="A98" i="1"/>
  <c r="A99" i="1"/>
  <c r="A100" i="1"/>
  <c r="A101" i="1"/>
  <c r="A102" i="1"/>
  <c r="A103" i="1"/>
  <c r="A104" i="1"/>
  <c r="A105"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6" i="1"/>
  <c r="A137" i="1"/>
  <c r="A138" i="1"/>
  <c r="A139" i="1"/>
  <c r="A140" i="1"/>
  <c r="A141"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1"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199" i="1"/>
  <c r="A200" i="1"/>
  <c r="A201" i="1"/>
  <c r="A202" i="1"/>
  <c r="A203" i="1"/>
  <c r="A204" i="1"/>
  <c r="A205" i="1"/>
  <c r="A206" i="1"/>
  <c r="A207" i="1"/>
  <c r="A208" i="1"/>
  <c r="A209" i="1"/>
  <c r="A210" i="1"/>
  <c r="A211" i="1"/>
  <c r="A212" i="1"/>
  <c r="A213" i="1"/>
  <c r="A214" i="1"/>
  <c r="A215" i="1"/>
  <c r="A216" i="1"/>
  <c r="A217" i="1"/>
  <c r="A218" i="1"/>
  <c r="A219" i="1"/>
  <c r="A220" i="1"/>
  <c r="A221" i="1"/>
  <c r="A222" i="1"/>
  <c r="A223" i="1"/>
  <c r="A224" i="1"/>
  <c r="A225" i="1"/>
  <c r="A226" i="1"/>
  <c r="A227" i="1"/>
  <c r="A228" i="1"/>
  <c r="A229" i="1"/>
  <c r="A230" i="1"/>
  <c r="A231" i="1"/>
  <c r="A232" i="1"/>
  <c r="A233" i="1"/>
  <c r="A234" i="1"/>
  <c r="A235" i="1"/>
  <c r="A236" i="1"/>
  <c r="A237" i="1"/>
  <c r="A238" i="1"/>
  <c r="A239" i="1"/>
  <c r="A240" i="1"/>
  <c r="A241" i="1"/>
  <c r="A242" i="1"/>
  <c r="A243" i="1"/>
  <c r="A244" i="1"/>
  <c r="A245" i="1"/>
  <c r="A246" i="1"/>
  <c r="A247" i="1"/>
  <c r="A248" i="1"/>
  <c r="A249" i="1"/>
  <c r="A250" i="1"/>
  <c r="A251" i="1"/>
  <c r="A252" i="1"/>
  <c r="A253" i="1"/>
  <c r="A254" i="1"/>
  <c r="A255" i="1"/>
  <c r="A256" i="1"/>
  <c r="A257" i="1"/>
  <c r="A258" i="1"/>
  <c r="A259" i="1"/>
  <c r="A260" i="1"/>
  <c r="A261" i="1"/>
  <c r="A262" i="1"/>
  <c r="A263" i="1"/>
  <c r="A264" i="1"/>
  <c r="A265" i="1"/>
  <c r="A266" i="1"/>
  <c r="A267" i="1"/>
  <c r="A268" i="1"/>
  <c r="A269" i="1"/>
  <c r="A270" i="1"/>
  <c r="A271" i="1"/>
  <c r="A272" i="1"/>
  <c r="A273" i="1"/>
  <c r="A274" i="1"/>
  <c r="A275" i="1"/>
  <c r="A276" i="1"/>
  <c r="A277" i="1"/>
  <c r="A278" i="1"/>
  <c r="A279" i="1"/>
  <c r="A280" i="1"/>
  <c r="A281" i="1"/>
  <c r="A282" i="1"/>
  <c r="A283" i="1"/>
  <c r="A284" i="1"/>
  <c r="A285" i="1"/>
  <c r="A286" i="1"/>
  <c r="A287" i="1"/>
  <c r="A288" i="1"/>
  <c r="A289" i="1"/>
  <c r="A290" i="1"/>
  <c r="A291" i="1"/>
  <c r="A292" i="1"/>
  <c r="A293" i="1"/>
  <c r="A294" i="1"/>
  <c r="A295" i="1"/>
  <c r="A296" i="1"/>
  <c r="A297" i="1"/>
  <c r="A298" i="1"/>
  <c r="A299" i="1"/>
  <c r="A300" i="1"/>
  <c r="A301" i="1"/>
  <c r="A302" i="1"/>
  <c r="A303" i="1"/>
  <c r="A304" i="1"/>
  <c r="A305" i="1"/>
  <c r="A306" i="1"/>
  <c r="A307" i="1"/>
  <c r="A308" i="1"/>
  <c r="A309" i="1"/>
  <c r="A310" i="1"/>
  <c r="A311" i="1"/>
  <c r="A312" i="1"/>
  <c r="A313" i="1"/>
  <c r="A314" i="1"/>
  <c r="A315" i="1"/>
  <c r="A316" i="1"/>
  <c r="A317" i="1"/>
  <c r="A318" i="1"/>
  <c r="A319" i="1"/>
  <c r="A320" i="1"/>
  <c r="A321" i="1"/>
  <c r="A322" i="1"/>
  <c r="A323" i="1"/>
  <c r="A324" i="1"/>
  <c r="A325" i="1"/>
  <c r="A326" i="1"/>
  <c r="A327" i="1"/>
  <c r="A328" i="1"/>
  <c r="A329" i="1"/>
  <c r="A330" i="1"/>
  <c r="A331" i="1"/>
  <c r="A332" i="1"/>
  <c r="A333" i="1"/>
  <c r="A334" i="1"/>
  <c r="A335" i="1"/>
  <c r="A336" i="1"/>
  <c r="A337" i="1"/>
  <c r="A338" i="1"/>
  <c r="A339" i="1"/>
  <c r="A340" i="1"/>
  <c r="A341" i="1"/>
  <c r="A342" i="1"/>
  <c r="A343" i="1"/>
  <c r="A344" i="1"/>
  <c r="A345" i="1"/>
  <c r="A346" i="1"/>
  <c r="A347" i="1"/>
  <c r="A348" i="1"/>
  <c r="A349" i="1"/>
  <c r="A350" i="1"/>
  <c r="A351" i="1"/>
  <c r="A352" i="1"/>
  <c r="A353" i="1"/>
  <c r="A354" i="1"/>
  <c r="A355" i="1"/>
  <c r="A356" i="1"/>
  <c r="A357" i="1"/>
  <c r="A358" i="1"/>
  <c r="A359" i="1"/>
  <c r="A360" i="1"/>
  <c r="A361" i="1"/>
  <c r="A362" i="1"/>
  <c r="A363" i="1"/>
  <c r="A364" i="1"/>
  <c r="A365" i="1"/>
  <c r="A366" i="1"/>
  <c r="A367" i="1"/>
  <c r="A368" i="1"/>
  <c r="A369" i="1"/>
  <c r="A370" i="1"/>
  <c r="A371" i="1"/>
  <c r="A372" i="1"/>
  <c r="A373" i="1"/>
  <c r="A374" i="1"/>
  <c r="A375" i="1"/>
  <c r="A376" i="1"/>
  <c r="A377" i="1"/>
  <c r="A378" i="1"/>
  <c r="A379" i="1"/>
  <c r="A380" i="1"/>
  <c r="A381" i="1"/>
  <c r="A382" i="1"/>
  <c r="A383" i="1"/>
  <c r="A384" i="1"/>
  <c r="A385" i="1"/>
  <c r="A386" i="1"/>
  <c r="A387" i="1"/>
  <c r="A388" i="1"/>
  <c r="A389" i="1"/>
  <c r="A390" i="1"/>
  <c r="A391" i="1"/>
  <c r="A392" i="1"/>
  <c r="A393" i="1"/>
  <c r="A394" i="1"/>
  <c r="A395" i="1"/>
  <c r="A396" i="1"/>
  <c r="A397" i="1"/>
  <c r="A398" i="1"/>
  <c r="A399" i="1"/>
  <c r="A400" i="1"/>
  <c r="A401" i="1"/>
  <c r="A402" i="1"/>
  <c r="A403" i="1"/>
  <c r="A404" i="1"/>
  <c r="A405" i="1"/>
  <c r="A406" i="1"/>
  <c r="A407" i="1"/>
  <c r="A408" i="1"/>
  <c r="A409" i="1"/>
  <c r="A410" i="1"/>
  <c r="A411" i="1"/>
  <c r="A412" i="1"/>
  <c r="A413" i="1"/>
  <c r="A414" i="1"/>
  <c r="A415" i="1"/>
  <c r="A416" i="1"/>
  <c r="A417" i="1"/>
  <c r="A418" i="1"/>
  <c r="A419" i="1"/>
  <c r="A420" i="1"/>
  <c r="A421" i="1"/>
  <c r="A422" i="1"/>
  <c r="A423" i="1"/>
  <c r="A424" i="1"/>
  <c r="A425" i="1"/>
  <c r="A426" i="1"/>
  <c r="A427" i="1"/>
  <c r="A428" i="1"/>
  <c r="A429" i="1"/>
  <c r="A430" i="1"/>
  <c r="A431" i="1"/>
  <c r="A432" i="1"/>
  <c r="A433" i="1"/>
  <c r="A434" i="1"/>
  <c r="A435" i="1"/>
  <c r="A436" i="1"/>
  <c r="A437" i="1"/>
  <c r="A438" i="1"/>
  <c r="A439" i="1"/>
  <c r="A440" i="1"/>
  <c r="A441" i="1"/>
  <c r="A442" i="1"/>
  <c r="A443" i="1"/>
  <c r="A444" i="1"/>
  <c r="A445" i="1"/>
  <c r="A446" i="1"/>
  <c r="A447" i="1"/>
  <c r="A448" i="1"/>
  <c r="A449" i="1"/>
  <c r="A450" i="1"/>
  <c r="A451" i="1"/>
  <c r="A452" i="1"/>
  <c r="A453" i="1"/>
  <c r="A454" i="1"/>
  <c r="A455" i="1"/>
  <c r="A456" i="1"/>
  <c r="A457" i="1"/>
  <c r="A458" i="1"/>
  <c r="A459" i="1"/>
  <c r="A460" i="1"/>
  <c r="A461" i="1"/>
  <c r="A462" i="1"/>
  <c r="A463" i="1"/>
  <c r="A464" i="1"/>
  <c r="A465" i="1"/>
  <c r="A466" i="1"/>
  <c r="A467" i="1"/>
  <c r="A468" i="1"/>
  <c r="A469" i="1"/>
  <c r="A470" i="1"/>
  <c r="A471" i="1"/>
  <c r="A472" i="1"/>
  <c r="A473" i="1"/>
  <c r="A474" i="1"/>
  <c r="A475" i="1"/>
  <c r="A476" i="1"/>
  <c r="A477" i="1"/>
  <c r="A478" i="1"/>
  <c r="A479" i="1"/>
  <c r="A480" i="1"/>
  <c r="A481" i="1"/>
  <c r="A482" i="1"/>
  <c r="A483" i="1"/>
  <c r="A484" i="1"/>
  <c r="A485" i="1"/>
  <c r="A486" i="1"/>
  <c r="A487" i="1"/>
  <c r="A488" i="1"/>
  <c r="A489" i="1"/>
  <c r="A490" i="1"/>
  <c r="A491" i="1"/>
  <c r="A492" i="1"/>
  <c r="A493" i="1"/>
  <c r="A494" i="1"/>
  <c r="A495" i="1"/>
  <c r="A496" i="1"/>
  <c r="A497" i="1"/>
  <c r="A498" i="1"/>
  <c r="A499" i="1"/>
  <c r="A500" i="1"/>
  <c r="A501" i="1"/>
  <c r="A502" i="1"/>
  <c r="A503" i="1"/>
  <c r="A504" i="1"/>
  <c r="A505" i="1"/>
  <c r="A506" i="1"/>
  <c r="A507" i="1"/>
  <c r="A508" i="1"/>
  <c r="A509" i="1"/>
  <c r="A510" i="1"/>
  <c r="A511" i="1"/>
  <c r="A512" i="1"/>
  <c r="A513" i="1"/>
  <c r="A514" i="1"/>
  <c r="A515" i="1"/>
  <c r="A516" i="1"/>
  <c r="A517" i="1"/>
  <c r="A518" i="1"/>
  <c r="A519" i="1"/>
  <c r="A520" i="1"/>
  <c r="A521" i="1"/>
  <c r="A522" i="1"/>
  <c r="A523" i="1"/>
  <c r="A524" i="1"/>
  <c r="A525" i="1"/>
  <c r="A526" i="1"/>
  <c r="A527" i="1"/>
  <c r="A528" i="1"/>
  <c r="A529" i="1"/>
  <c r="A530" i="1"/>
  <c r="A531" i="1"/>
  <c r="A532" i="1"/>
  <c r="A533" i="1"/>
  <c r="A534" i="1"/>
  <c r="A535" i="1"/>
  <c r="A536" i="1"/>
  <c r="A537" i="1"/>
  <c r="A538" i="1"/>
  <c r="A539" i="1"/>
  <c r="A540" i="1"/>
  <c r="A541" i="1"/>
  <c r="A542" i="1"/>
  <c r="A543" i="1"/>
  <c r="A544" i="1"/>
  <c r="A545" i="1"/>
  <c r="A546" i="1"/>
  <c r="A547" i="1"/>
  <c r="A548" i="1"/>
  <c r="A549" i="1"/>
  <c r="A550" i="1"/>
  <c r="A551" i="1"/>
  <c r="A552" i="1"/>
  <c r="A553" i="1"/>
  <c r="A554" i="1"/>
  <c r="A555" i="1"/>
  <c r="A556" i="1"/>
  <c r="A557" i="1"/>
  <c r="A558" i="1"/>
  <c r="A559" i="1"/>
  <c r="A560" i="1"/>
  <c r="A561" i="1"/>
  <c r="A562" i="1"/>
  <c r="A563" i="1"/>
  <c r="A564" i="1"/>
  <c r="A565" i="1"/>
  <c r="A566" i="1"/>
  <c r="A567" i="1"/>
  <c r="A568" i="1"/>
  <c r="A569" i="1"/>
  <c r="A570" i="1"/>
  <c r="A571" i="1"/>
  <c r="A572" i="1"/>
  <c r="A573" i="1"/>
  <c r="A574" i="1"/>
  <c r="A575" i="1"/>
  <c r="A576" i="1"/>
  <c r="A577" i="1"/>
  <c r="A578" i="1"/>
  <c r="A579" i="1"/>
  <c r="A580" i="1"/>
  <c r="A581" i="1"/>
  <c r="A582" i="1"/>
  <c r="A583" i="1"/>
  <c r="A584" i="1"/>
  <c r="A585" i="1"/>
  <c r="A586" i="1"/>
  <c r="A587" i="1"/>
  <c r="A588" i="1"/>
  <c r="A589" i="1"/>
  <c r="A590" i="1"/>
  <c r="A591" i="1"/>
  <c r="A592" i="1"/>
  <c r="A593" i="1"/>
  <c r="A594" i="1"/>
  <c r="A595" i="1"/>
  <c r="A596" i="1"/>
  <c r="A597" i="1"/>
  <c r="A598" i="1"/>
  <c r="A599" i="1"/>
  <c r="A600" i="1"/>
  <c r="A601" i="1"/>
  <c r="A602" i="1"/>
  <c r="A603" i="1"/>
  <c r="A604" i="1"/>
  <c r="A605" i="1"/>
  <c r="A606" i="1"/>
  <c r="A607" i="1"/>
  <c r="A608" i="1"/>
  <c r="A609" i="1"/>
  <c r="A610" i="1"/>
  <c r="A611" i="1"/>
  <c r="A612" i="1"/>
  <c r="A613" i="1"/>
  <c r="A614" i="1"/>
  <c r="A615" i="1"/>
  <c r="A616" i="1"/>
  <c r="A617" i="1"/>
  <c r="A618" i="1"/>
  <c r="A619" i="1"/>
  <c r="A620" i="1"/>
  <c r="A621" i="1"/>
  <c r="A622" i="1"/>
  <c r="A623" i="1"/>
  <c r="A624" i="1"/>
  <c r="A625" i="1"/>
  <c r="A626" i="1"/>
  <c r="A627" i="1"/>
  <c r="A628" i="1"/>
  <c r="A629" i="1"/>
  <c r="A630" i="1"/>
  <c r="A631" i="1"/>
  <c r="A632" i="1"/>
  <c r="A633" i="1"/>
  <c r="A634" i="1"/>
  <c r="A635" i="1"/>
  <c r="A636" i="1"/>
  <c r="A637" i="1"/>
  <c r="A638" i="1"/>
  <c r="A639" i="1"/>
  <c r="A640" i="1"/>
  <c r="A641" i="1"/>
  <c r="A642" i="1"/>
  <c r="A643" i="1"/>
  <c r="A644" i="1"/>
  <c r="A645" i="1"/>
  <c r="A646" i="1"/>
  <c r="A647" i="1"/>
  <c r="A648" i="1"/>
  <c r="A649" i="1"/>
  <c r="A650" i="1"/>
  <c r="A651" i="1"/>
  <c r="A652" i="1"/>
  <c r="A653" i="1"/>
  <c r="A654" i="1"/>
  <c r="A655" i="1"/>
  <c r="A656" i="1"/>
  <c r="A657" i="1"/>
  <c r="A658" i="1"/>
  <c r="A659" i="1"/>
  <c r="A660" i="1"/>
  <c r="A661" i="1"/>
  <c r="A662" i="1"/>
  <c r="A663" i="1"/>
  <c r="A664" i="1"/>
  <c r="A665" i="1"/>
  <c r="A666" i="1"/>
  <c r="A667" i="1"/>
  <c r="A668" i="1"/>
  <c r="A669" i="1"/>
  <c r="A670" i="1"/>
  <c r="A671" i="1"/>
  <c r="A672" i="1"/>
  <c r="A673" i="1"/>
  <c r="A674" i="1"/>
  <c r="A675" i="1"/>
  <c r="A676" i="1"/>
  <c r="A677" i="1"/>
  <c r="A678" i="1"/>
  <c r="A679" i="1"/>
  <c r="A680" i="1"/>
  <c r="A681" i="1"/>
  <c r="A682" i="1"/>
  <c r="A683" i="1"/>
  <c r="A684" i="1"/>
  <c r="A685" i="1"/>
  <c r="A686" i="1"/>
  <c r="A687" i="1"/>
  <c r="A688" i="1"/>
  <c r="A689" i="1"/>
  <c r="A690" i="1"/>
  <c r="A691" i="1"/>
  <c r="A692" i="1"/>
  <c r="A693" i="1"/>
  <c r="A694" i="1"/>
  <c r="A695" i="1"/>
  <c r="A696" i="1"/>
  <c r="A697" i="1"/>
  <c r="A698" i="1"/>
</calcChain>
</file>

<file path=xl/sharedStrings.xml><?xml version="1.0" encoding="utf-8"?>
<sst xmlns="http://schemas.openxmlformats.org/spreadsheetml/2006/main" count="5208" uniqueCount="2085">
  <si>
    <t>CIG</t>
  </si>
  <si>
    <t>Struttura proponente</t>
  </si>
  <si>
    <t>Oggetto</t>
  </si>
  <si>
    <t>Scelta del contraente</t>
  </si>
  <si>
    <t>Elenco operatori invitati</t>
  </si>
  <si>
    <t>Aggiudicatario</t>
  </si>
  <si>
    <t>Importo di aggiudicazione</t>
  </si>
  <si>
    <t>Tempi</t>
  </si>
  <si>
    <t>Importo somme liquidate</t>
  </si>
  <si>
    <t>01114010620-Universit√† del Sannio</t>
  </si>
  <si>
    <t>Pubblicit√† legale - avviso di esito su "Il Sannio Quotidiano" e su "Il Giornale"</t>
  </si>
  <si>
    <t>23-AFFIDAMENTO DIRETTO</t>
  </si>
  <si>
    <t>01633200629-Il Guerriero s.c.a.r.l.</t>
  </si>
  <si>
    <t>560.0</t>
  </si>
  <si>
    <t>Affidamento diretto, ai sensi dellart.36, comma 2, lettera a) del D. Lgs. 18 aprile 2016, n. 50, alla Societ√† TURNITIN, LLC per lacquisto della licenza duso annuale del software antiplagio nella versione "Similarity"</t>
  </si>
  <si>
    <t>EU372010635-Turnitin</t>
  </si>
  <si>
    <t>3501.4</t>
  </si>
  <si>
    <t>Pubblicazione articolo scientifico Biomed Central _ Prof. Guarino</t>
  </si>
  <si>
    <t xml:space="preserve">99999999999-BioMed Central Ltd </t>
  </si>
  <si>
    <t>2254.37</t>
  </si>
  <si>
    <t>Affidamento diretto, ai sensi dellart. 36 comma 2 lett. a) del D.lgs. 50/2016 e s.m.i., con applicazione dellart. 1, comma 2, D.L. 16 luglio 2020 n. 76 convertito in  legge 11 settembre 2020 n. 120, per la conclusione di un Accordo Quadro con unico operatore economico, ai sensi dellart. 54 comma 3 del D.lgs 50/2016 e s.m.i., valido per 36 mesi, per la fornitura a somministrazione, resa franco d'imballo, trasporto e consegna, di prodotti chimici e biologici necessari al funzionamento dei Laboratori chimici e biologici del Dipartimento di Scienze e Tecnologie dellUniversit√† degli Studi del Sannio  via Francesco De Sanctis, snc  82100 Benevento.</t>
  </si>
  <si>
    <t xml:space="preserve">Affidamento diretto, ai sensi dellart.36, comma 2, lettera a) del D. Lgs. 18 aprile 2016, n. 50, alla EBSCO Information Services S.r.l per la sottoscrizione annuale della risorsa "The New York Times - Academic Site License </t>
  </si>
  <si>
    <t>11164410018-EBSCO INFORMATION SERVICES SRL</t>
  </si>
  <si>
    <t>2600.0</t>
  </si>
  <si>
    <t>Lotto 2: fornitura di abbonamenti a periodici print, periodici print + online, periodici e-only e a banche dati online italiani e stranieri (di nazionalit√† appartenenti o non appartenenti allUnione Europea)</t>
  </si>
  <si>
    <t>04-PROCEDURA NEGOZIATA SENZA PREVIA PUBBLICAZIONE</t>
  </si>
  <si>
    <t>02938930589-CELDES SRL,RSCMCR67L51L781C-Libreria Scientifica Rescalli ,02511020162-LEGGERE SRL,11164410018-EBSCO INFORMATION SERVICES SRL,05329570963-LAFELTRINELLI INTERNET BOOKSHOP</t>
  </si>
  <si>
    <t>02938930589-CELDES SRL</t>
  </si>
  <si>
    <t>73600.0</t>
  </si>
  <si>
    <t>Rinnovo adesione ACNP per il 2021 con ABIS - AREA BIBLIOTECHE E SERVIZI ALLO STUDIO - Universit√† di Bologna</t>
  </si>
  <si>
    <t>80007010376-ABIS - AREA BIBLIOTECHE E SERVIZI ALLO STUDIO</t>
  </si>
  <si>
    <t>225.0</t>
  </si>
  <si>
    <t xml:space="preserve">Affidamento diretto, ai sensi dellart.36, comma 2,lettera a) del D. Lgs. 18 aprile 2016, n. 50, allaInternational Federation of Library Associationsand Institutionsdella fornitura di Vaucher interi eVaucher mezzi per il pagamento delle transazioniinterbibliotecarie   relative   ai   servizi   di   PrestitoInterbibliotecario e di fornitura di documenti incopia1 </t>
  </si>
  <si>
    <t>NL 002870836B01 -IFLA HQ</t>
  </si>
  <si>
    <t>1826.0</t>
  </si>
  <si>
    <t xml:space="preserve">materiale laboratorio optoelettronico </t>
  </si>
  <si>
    <t>Fornitura SIM agli studenti nell'ambito dell'iniziativa 5xmille Metti in rete i giovani</t>
  </si>
  <si>
    <t>26-AFFIDAMENTO DIRETTO IN ADESIONE AD ACCORDO QUADRO/CONVENZIONE</t>
  </si>
  <si>
    <t>00488410010-TELECOM ITALIA S.P.A.</t>
  </si>
  <si>
    <t>21000.0</t>
  </si>
  <si>
    <t>Fornitura, nell'ambito dell'"Accordo Quadro di durata triennale, della fornitura di Personal Computer, Server, Notebook e Tablet", di personal computer e materiale informatico per le esigenze degli uffici di ateneo</t>
  </si>
  <si>
    <t>MNCRND76E29A489N-AM INFORMATICA DI MONACO ARMANDO</t>
  </si>
  <si>
    <t>11896.58</t>
  </si>
  <si>
    <t>Materiale laboratorio optoelettronico</t>
  </si>
  <si>
    <t>Affidamento diretto ex art. 36, comma 2, lett. a) del D. Lgs. 50/2016, alla Societ√† TECHNOLOGIES ITALIA, Fil. della Life Technologies Europe B.V., con sede in Monza (MB), Via Tiepolo, n. 18 - Cap. 20900  P.IVA/C.F. 12792100153, per un importo pari ad uro 3.640,74 oltre IVA, per lacquisto di materiale di consumo per i Laboratori  del  Dipartimento di Scienze e Tecnologie.</t>
  </si>
  <si>
    <t>Pubblicazione articolo scientifico MDPI _ Prof.Vito (Prog. INBIOMED)</t>
  </si>
  <si>
    <t>CHE115694943-MDPI</t>
  </si>
  <si>
    <t>1456.4</t>
  </si>
  <si>
    <t xml:space="preserve">Intervento di riorganizzazione del Pozzo Librario della Biblioteca Centralizzata di Ateneo </t>
  </si>
  <si>
    <t>09247301212-Inarte Srls</t>
  </si>
  <si>
    <t>39750.0</t>
  </si>
  <si>
    <t xml:space="preserve">Affidamento diretto ex art. 36, comma 2, lett. a) del D. Lgs. 50/2016, alla Societ√† LEVANCHIMICA S.r.l., con sede a Bari (BA), Viale T.Columbo,41 - Cap.70132   C.F./P.IVA 03587930722, per l'acquisto di materiale di consumo per il Laboratorio Sistemi Integrati di Biologia Animale e Vegetale per l Ambiente e la Salute presso il Dipartimento di Scienze e Tecnologie, che  graver√† sul progetto Bonifiche_Guarino,il cui responsabile scientifico √® il Prof. Carmine Guarino.  </t>
  </si>
  <si>
    <t>03587930722-LEVANCHIMICA S.R.L.</t>
  </si>
  <si>
    <t>1686.2</t>
  </si>
  <si>
    <t>Fornitura di licenze Microsoft Windows 2019 Server per l'erogazione della didattica in modalit√† blended</t>
  </si>
  <si>
    <t>02409740244-MEDIA DIRECT s.r.l.</t>
  </si>
  <si>
    <t>916.0</t>
  </si>
  <si>
    <t>Fornitura di Access Point e di licenze Meraki Enterprise Cloud per il sistema WIFI di ateneo</t>
  </si>
  <si>
    <t>33-PROCEDURA NEGOZIATA PER AFFIDAMENTI SOTTO SOGLIA</t>
  </si>
  <si>
    <t>24709.75</t>
  </si>
  <si>
    <t xml:space="preserve">Affidamento diretto ex art. 36, comma 2, lett. a) del D. Lgs. 50/2016, alla Societ√† Societ√† MICROTECH S.r.l., con sede a Napoli (NA), Viale Augusto,162 - Cap. 80125  P.IVA /C.F. 05791560633, per l'acquisto di materiale di consumo per i Laboratori del Dipartimento di Scienze e Tecnologie. Det. n.   del    </t>
  </si>
  <si>
    <t>Affidamento diretto ex art. 36, comma 2, lett. a) del D. Lgs. 50/2016,   alla Societ√†  W.T.C. OFFICE  Srl : BOTTEGA GRAFICA del Servizio di Traduzione Testo Scientifico ItalianoInglese, ai fini della pubblicazione di unattivit√†  di ricerca scientifica sulla rivista Euro-Asia Tourism Studies Journal nellambito del progetto Fondi di ricerca FRA 2019, responsabile scientifico Prof.ssa Ilaria Greco</t>
  </si>
  <si>
    <t>15516831003-WTC OFFICE SRL</t>
  </si>
  <si>
    <t>900.0</t>
  </si>
  <si>
    <t>Affidamento diretto alla Societ√† NADA2008 S.r.l. per la fornitura di etichette bianche non rimovibili antimanomissione, marca "Avery", modello "L6146-20", per le esigenze della Biblioteca Centralizzata di Ateneo.</t>
  </si>
  <si>
    <t>09234221001-NADA 2008</t>
  </si>
  <si>
    <t>4076.94</t>
  </si>
  <si>
    <t>Fornitura certificati di firma digitale remota</t>
  </si>
  <si>
    <t>07945211006-INFOCERT S.p.a.</t>
  </si>
  <si>
    <t>2475.0</t>
  </si>
  <si>
    <t>Accordo Quadro gas</t>
  </si>
  <si>
    <t>Affidamento diretto al dott. Costantino Auricchio, nato ad Ottaviano (NA) il 15/05/1968, medico chirurgo, specialista in Medicina dello Sport, con studio in Ottaviano (NA) alla Via Roma 83, del servizio preordinato all'esecuzione di visite mediche per n. 24 studenti.</t>
  </si>
  <si>
    <t xml:space="preserve">RCCCTN68E15G190C-Dott. Costantino Auricchio </t>
  </si>
  <si>
    <t xml:space="preserve">Affidamento diretto Rack refrigerato 12 KW monitorato </t>
  </si>
  <si>
    <t>07925350154-RITTAL SPA</t>
  </si>
  <si>
    <t>27024.0</t>
  </si>
  <si>
    <t>Fornitura, nell'ambito della Convenzione CONSIP Personal Computer portatili e Tablet 3 - Lotto 4, di un notebook per le esigenze della Direzione Generale</t>
  </si>
  <si>
    <t>00929440592-INFORDATA</t>
  </si>
  <si>
    <t>1015.0</t>
  </si>
  <si>
    <t xml:space="preserve">Acquisizione del servizio di utilizzo in SaaS della Piattaforma di gestione dei concorsi SELECO </t>
  </si>
  <si>
    <t>00451920771-I.B,S. INFORMATICA BASILICATA SISTEMI SRL</t>
  </si>
  <si>
    <t>9000.0</t>
  </si>
  <si>
    <t>Mepa- acquisto di materiale per laboratorio, per esigenze di ricercadel Dipartimento di Scienze e Tecnologie Prof. Carmine Guarino</t>
  </si>
  <si>
    <t>13209130155-MERCK LIFE SCIENCE S.R.L.</t>
  </si>
  <si>
    <t>316.0</t>
  </si>
  <si>
    <t>Affidamento diretto ex art. 36, comma 2, lett. a) del D. Lgs. 50/2016, alla Societ√† alla Societ√† PRODOTTI GIANNI S.r.l., con sede a Milano (MI), Via M.F.Quintiliano,30 - Cap. 20138  C.F./P.IVA 08860270969, per l'acquisto di materiale di consumo per il Laboratorio di Biologia Animale presso il Dipartimento di Scienze e Tecnologie, relativo al progetto FRA_2020/2021 , di cui √® responsabile scientifico la Prof.ssa Marina Paolucci.</t>
  </si>
  <si>
    <t>08860270969-PRODOTTI GIANNI srl</t>
  </si>
  <si>
    <t>1880.45</t>
  </si>
  <si>
    <t>Optical Microscopy Course Educational Kit, Metric_ DIP ECCELLENZA_Prof. Consales</t>
  </si>
  <si>
    <t>Affidamento diretto, ai sensi dellart.36, comma 2, lettera a) del D. Lgs. 18 aprile 2016, n. 50, alla Societ√† Giuffr√® Francis Lefebvre per lacquisizione della Nuova Enciclopedia Del Diritto GFL in versione cartacea + archivio storico + bibliografia</t>
  </si>
  <si>
    <t>00829840156-GIUFFRE' FRANCIS LEFEBVRE S.P.A.</t>
  </si>
  <si>
    <t>2532.0</t>
  </si>
  <si>
    <t>Acquisto di licenze triennali antivirus</t>
  </si>
  <si>
    <t>03494820164-BLADE INFORMATICA S.R.L.</t>
  </si>
  <si>
    <t>10400.0</t>
  </si>
  <si>
    <t>Spese per pubblicazioni scientifiche MDPI _ Prof.ssa Paolucci</t>
  </si>
  <si>
    <t>1662.2</t>
  </si>
  <si>
    <t>Componenti per la realizzazione di sensoristica nell'ambito dello sviluppo di un sistema predittivo di allertamento</t>
  </si>
  <si>
    <t xml:space="preserve">03116641212-INLAB SRL </t>
  </si>
  <si>
    <t>6041.44</t>
  </si>
  <si>
    <t>Noleggio del campo per Torneo di Padel, organizzato dall'Associazione studentesca Etabetagamma, che si svolger√† a Benevento nel mese di luglio del 2021 con la partecipazione di 12 coppie di studenti dell'Ateneo</t>
  </si>
  <si>
    <t>92080010629-ASD Tennis Team Pepe</t>
  </si>
  <si>
    <t>2000.0</t>
  </si>
  <si>
    <t>sistema DANTEC DYNAMICS, costituito da CPU XEON ODA MEPA 5483671 DECRETO 114 2020 -</t>
  </si>
  <si>
    <t>11096070153-Fluxoptica SRL</t>
  </si>
  <si>
    <t>1000.0</t>
  </si>
  <si>
    <t xml:space="preserve">Affidamento diretto, ai sensi dellart. 36 comma 2 lett. a) del D.lgs. 50/2016 e ss.mm.ii., con applicazione dellart. 1, comma 2, D.L. 16 luglio 2020 n. 76 convertito in  legge 11 settembre 2020 n. 120, per la conclusione di un Accordo Quadro con unico operatore economico, ai sensi dellart. 54 comma 3 del D.lgs 50/2016 e ss.mm.ii., valido per 36 mesi, per la fornitura a somministrazione, resa franco d'imballo, trasporto e consegna di materiale di consumo necessari al funzionamento dei Laboratori chimici, fisici e biologici del Dipartimento di Scienze e Tecnologie dellUniversit√† degli Studi del Sannio  via Francesco De Sanctis, snc </t>
  </si>
  <si>
    <t>00695940213-SARSTEDT SRL</t>
  </si>
  <si>
    <t>74889.93</t>
  </si>
  <si>
    <t>Acquisizione di giornate/uomo per lo sviluppo applicativo-funzionale del sito web di ateneo</t>
  </si>
  <si>
    <t>05921651211-KELYON SRL</t>
  </si>
  <si>
    <t>10500.0</t>
  </si>
  <si>
    <t>Fornitura di due switch ottici nell'ambito della Convenzione CONSIP Reti Locali 7 per il potenziamento della rete telematica di ateneo</t>
  </si>
  <si>
    <t>7316.8</t>
  </si>
  <si>
    <t>abbonamento alla rivista digitale in pdf dal titolo "Rivista di diritto privato" - Anni 2018-2023</t>
  </si>
  <si>
    <t>06249000727-Cacucci Editore S.a.s. di Nicola Cacucci &amp; C.</t>
  </si>
  <si>
    <t>364.5</t>
  </si>
  <si>
    <t>Pubblicazione articolo scientifico Frontiers_ Prof. Guarino</t>
  </si>
  <si>
    <t>99999999999-Frontiers Media SA</t>
  </si>
  <si>
    <t>2433.0</t>
  </si>
  <si>
    <t>Fornitura di un computer iMac per le esigenze della Unit√† Organizzativa Reti nell'a,bito dell'Accordo Quadro della fornitura di Personal Computer, Server, Notebook e Tablet</t>
  </si>
  <si>
    <t>1512.29</t>
  </si>
  <si>
    <t>Servizi tecnici di progettazione di livello definitivo ed esecutivo relativi ai Lavori di riqualificazione con efficientamento energetico di livello NZEB dell'edificio sede del DEMM di Via delle Puglie</t>
  </si>
  <si>
    <t>01-PROCEDURA APERTA</t>
  </si>
  <si>
    <t>16028081004-DEKA PROGETTI,MNTFBA86M28C352D-Arch. Fabio Montesano con ruolo 01-MANDANTE,04873791216-STUDIO PROGETTAZIONI D'INGEGNERIA - SPI S.R.L. con ruolo 01-MANDANTE,00424850543-Cooprogetti soc. coop. con ruolo 02-MANDATARIA,03726321213-Arethusa srl con ruolo 01-MANDANTE,PLMLCN71L08B963H-arch. Luciano Palmiero con ruolo 01-MANDANTE,07843010633-Corvino + Multari srl con ruolo 02-MANDATARIA,07606770639-STUDIO ARCHITETTURA DFT S.R.L. con ruolo 01-MANDANTE,CNTLEI71H10F839P-Architetto Conte Elio con ruolo 01-MANDANTE,PLTGCR73T27F839B-ING GIANCARLO POLITO con ruolo 01-MANDANTE,NNCNLN92L70A509H-STUDIO TECNICO IANNICIELLO con ruolo 01-MANDANTE,04523101212-Di Girolamo Engineering con ruolo 02-MANDATARIA,07789120636-S.IN.T.E.C. srl con ruolo 01-MANDANTE,BTTNRC53H04H431N-Geol. Enrico Bottiglieri con ruolo 01-MANDANTE,ZCCMRA90L61I234C-impresa individuale/libero professionista con ruolo 01-MANDANTE,09109161217-MASTELLONE di CASTELVETERE ENGINEERING S.r.l. con ruolo 02-MANDATARIA,PLTVNT90H15A717T-ING. VITANTONIO POLITO con ruolo 01-MANDANTE,02672340649-C-ENGINEERING SRL con ruolo 01-MANDANTE,CRCNCL81T10A509W-DOTT. GEOL. NICOLA CARCHIA con ruolo 01-MANDANTE,05272840488-AEI PROGETTI SRL con ruolo 01-MANDANTE,SBLLNR82C65G482I-ING. ELEONORA SABLONE con ruolo 01-MANDANTE,05650480485-ROSSIPRODI ASSOCIATI SRL con ruolo 02-MANDATARIA,10135381001-E4E Engineering For Environment S.p.A.] con ruolo 01-MANDANTE,TMSDDR73M25A783U-Arch. Diodoro Tomaselli con ruolo 01-MANDANTE,FSCTMS70L25F717L-Geologo Tommaso Fusco con ruolo 01-MANDANTE,05299421007-STUDIO AMATI s.r.l. con ruolo 02-MANDATARIA</t>
  </si>
  <si>
    <t>Pubblicazione articolo scientifico Frontiers_ Silvestri</t>
  </si>
  <si>
    <t>2437.0</t>
  </si>
  <si>
    <t>Lotto III  C.I.G.: 8682763AB0, C.U.P.: F86C18000480006, Complesso Immobiliare denominato COMPLESSO DI SAN AGOSTINO</t>
  </si>
  <si>
    <t>01255030627-COSTRUZIONI LOMBARDI ACHILLE S.R.L.,01483060628-CONSORZIO STABILE MEDIL Societ√† consortile per azioni,03693300638-SOC. COOP. LA FIORELLA 82,01881650616-COSTRUZIONI DE.M.AL. SRL,01503070623-MASTIO RESTAURI SRL,01519510620-DWE S.R.L.,14194131000-A.I.CO. CONSORZIO STABILE S.c. a r.l.,VRZFNC49P08B872T-GEOM. VERAZZO FRANCESCO,02099930618-COGESA DI CORVINO VINCENZO S.R.L.,03568420636-VA.BEN SRL,01300650627-NEW SERVICE SRL,02483170367-I.M.E.SRL,08632181213-DEA SRL,01143770624-RICCI COSTRUZIONI,03290340169-ALIN SRL,06965650630-Impresa Ingg. Mario e Paolo Cosenza srl,03076110612-BS Costruzioni S.r.l.,15139731002-A.I.R.CONSORZIO STABILE SCARL,01681500623-FASULO COSTRUZIONI EDILI S.R.L.,01856130651-FRANCO COSTRUZIONI GENERALI SRL,08610291216-Falco Group S.r.l.,05748201216-MAR. SAL. RESTAURI S.R.L.,02686950649-GRAMA SRL,03770981219-CACEDI S.R.L.,02804100648-Di.Gi. Lavori s.r.l.,05930561211-EDILCIDO SRL,01071550626-BARONE COSTRUZIONI SRL,04660650633-COSTRUZIONI MERIDIONALI srl,06752701216-S.I.M. COSTRUZIONI S.R.L.,14269521002-GE.TI COSTRUZIONI GENERALI S.R.L.,05237211213-DELTA IMPIANTI SRL,07889071218-G.R.V. COSTRUZIONI E RESTAURI S.R.L.,05500170633-LA.RE.FIN. S.r.l.,06085471214-P.&amp;C. S.R.L.,09079091212-ELTEL SRL,06206891217-R.C.R. RESTAURI S.R.L.,01600330615-VINCENZO MODUGNO SRL,03721560633-Orf√© Costruzioni S.r.l.,07436730639-RICCIO COSTRUZIONI SOC. COOP.,05641980726-MANUTENZIONI SRL,00769870767-PARI COSTRUZIONI S.R.L.,10925671009-INFRATECH CONSORZIO STABILE S.C. A R.L.,02344400649-PAPA SERVICE S.A.S.,01496070630-EDILCAP SOC. COOP. DI PRODUZIONE E LAVORO AR.L.,15726231002-CONSORZIO STABILE OPERA S.C. A R.L.,05955211213-T.S.G. Costruzioni,04813191212-S.A.R.I.T. COSTRUZIONI,04925950653-SAMOA RESTAURI SRL,03351760636-ROMANO COSTRUZIONI &amp; C. S.R.L.,07538190724-TANCREDI RESTAURI S.R.L.,03381151202-GENIALE SRL,00287780639-S.A.V.A. &amp; C. Societ√† Anonima Vendita Appartamenti e Costruzioni S.r.l.,07416870637-SOC. COOP. PROGETTO 2000 ARL,04829190638-M.E.C. MERIDIONALE EDILIZIA COSTRUZIONI S.R.L.,08126680720-LACOGEIT S.R.L.,02696941216-CAPRIELLO VINCENZO SRL,03650400652-SAGGESE SPA,06806550965-CONSORZIO SERVIZI INTEGRATI,DMRBRN70R10F839U-ISOLTECNO DI DI MARINO BRUNO,02829730650-Alfieri Impianti di Alfieri Domenico &amp; c. s.a.s. con ruolo 01-MANDANTE,00184900652-SCHIAVO &amp; C. S.p.A. con ruolo 02-MANDATARIA,12505231006-AVC SRL con ruolo 01-MANDANTE,06443781007-fubelli srl con ruolo 02-MANDATARIA,04106590658-DIELLE Impianti S.r.l. con ruolo 01-MANDANTE,04876741218-I.CO.RES. S.R.L. con ruolo 02-MANDATARIA,01323360188-FARINA AURELIO con ruolo 01-MANDANTE,03707861211-GIEFFECOSTRUZIONI SRL con ruolo 02-MANDATARIA,04503451215-NEW TEC SRL con ruolo 01-MANDANTE,03219230616-DI PUORTO COSTRUZIONI SRL con ruolo 01-MANDANTE,03275710659-IGEA COSTRUZIONI SRL con ruolo 02-MANDATARIA</t>
  </si>
  <si>
    <t>01483060628-CONSORZIO STABILE MEDIL Societ√† consortile per azioni</t>
  </si>
  <si>
    <t>455429.22</t>
  </si>
  <si>
    <t>Pubblicazione articolo scientifico Frontiers_ Rocco</t>
  </si>
  <si>
    <t>Affidamento diretto, ai sensi dellart. 36 comma 2 lett. a) del D.lgs. 50/2016 e s.m.i., con applicazione dellart. 1, comma 2, D.L. 16 luglio 2020 n. 76 convertito in  legge 11 settembre 2020 n. 120, per la conclusione di un Accordo Quadro con unico operatore economico, ai sensi dellart. 54 comma 3 del D.lgs 50/2016 e s.m.i., valido per 36 mesi, per la fornitura a somministrazione, resa franco d'imballo, trasporto e consegna, di prodotti Knockout (KO) validated antibodies necessari al funzionamento dei Laboratori chimici e biologici del Dipartimento di Scienze e Tecnologie dellUniversit√† degli Studi del Sannio  via Francesco De Sanctis, snc  82100 Benevento</t>
  </si>
  <si>
    <t>27679.26</t>
  </si>
  <si>
    <t>Acquisto monografie in adesione ad accordo quadro lotto1 cod. G00601L001</t>
  </si>
  <si>
    <t xml:space="preserve">RSCMCR67L51L781C-Libreria Scientifica Rescalli </t>
  </si>
  <si>
    <t>7000.0</t>
  </si>
  <si>
    <t>Affidamento diretto ex art. 36, comma 2, lett. a) del D. Lgs. 50/2016, alla Societ√† DBA ITALIA S.r.l., con sede a Segrate (MI), Via Umbria,10  - Cap. 20054  P.IVA 07484470153, per l'acquisto di materiale di consumo per i Laboratori  del  Dipartimento di Scienze e Tecnologie</t>
  </si>
  <si>
    <t>Affidamento diretto ex art. 36, comma 2, lett. a) del D. Lgs. 50/2016,  mediante trattativa diretta n. 1765728 sulla Piattaforma del Mercato Elettronico della Pubblica Amministrazione  - MEPA,  per lacquisizione di n. 1 Workstation HP PC WKS TOWER Z2 G5 I7-10700 16G  e n. 1 Pc PC All In One - HP All-in-One 22-df0059nl Bundle con Kit Mouse e Tastiera,  per le esigenze di ricerca del Prof. Rampone Salvatore</t>
  </si>
  <si>
    <t xml:space="preserve">01387750621-IN.FORMA.TI.KA SRL Unipersonale </t>
  </si>
  <si>
    <t>2008.2</t>
  </si>
  <si>
    <t>Affidamento incarico di suppoto al RUP dell?unit√† Organizzativa Programmazione edilizia</t>
  </si>
  <si>
    <t xml:space="preserve">Sottoscrizione degli abbonamenti alle riviste digitali: - SVILUPPO &amp; ORGANIZZAZIONE edita da ESTE EDIZIONI SCIENTIFICHE TECNICHE EUROPEE SRL; - RIVISTA ITALIANA DI RAGIONERIA &amp; ECONOMIA AZIENDALE edita da RIREA; in adesione all'Accordo Quadro Lotto 2 - G00601L002 - RdO 2772530 </t>
  </si>
  <si>
    <t>232.2</t>
  </si>
  <si>
    <t xml:space="preserve">Spese per pubblicazioni scientifiche Frontiers _ Dott.ssa Cioffi </t>
  </si>
  <si>
    <t>2497.88</t>
  </si>
  <si>
    <t>Servizi PROFIS Sistemi Soluzioni Gestionali e Servizi Fiscali  Modulo 730/2020</t>
  </si>
  <si>
    <t>01001050622-Computer &amp; di Salierno &amp; Formato SnC</t>
  </si>
  <si>
    <t>360.0</t>
  </si>
  <si>
    <t xml:space="preserve">Fornitura di apparecchiature di rete per le esigenze della nuova sede (CUBO) del Dipartimento DST </t>
  </si>
  <si>
    <t>15423.09</t>
  </si>
  <si>
    <t>Fornitura di componenti elettronici richiesti dal prof. Sergio Rapuano nell'ambito dell'attivit√† di Ricerca NIST</t>
  </si>
  <si>
    <t>03796500753-MIRIFICA</t>
  </si>
  <si>
    <t>2478.76</t>
  </si>
  <si>
    <t>Lavori per la realizzazione, mediante appalto integrato, degli "Interventi infrastrutturali per la sistemazione del palazzetto dello sport Unisannio"</t>
  </si>
  <si>
    <t>14194131000-A.I.CO. CONSORZIO STABILE S.c. a r.l.,07295941004-COSTRUZIONI GENERALI IZZO,03770981219-CACEDI S.R.L.,01071550626-BARONE COSTRUZIONI SRL,03650400652-SAGGESE SPA,05041951210-ReseArch Consorzio Stabile Scarl,01517350631-S.A.C.S. s.r.l.,05180081001-Lampugnale s.r.l.,02344400649-PAPA SERVICE S.A.S. con ruolo 01-MANDANTE,02540020647-CIASULLO COSTRUZIONI SRL con ruolo 02-MANDATARIA,03097240653-VOTO GROUP S.R.L.,04546430630-EDIL GEO SRL,04804621219-E.CO.RES SRL,DLCGPP69A05F839D-GEOLOGO GIUSEPPE DE LUCA con ruolo 01-MANDANTE,08091761216-Senea Srls con ruolo 01-MANDANTE,05637801217-SEA COSTRUZIONI con ruolo 02-MANDATARIA,05898461214-KAM COSTRUZIONI S.R.L.,06127200720-LORUSSO IMPIANTI S.R.L.  con ruolo 01-MANDANTE,08126680720-LACOGEIT S.R.L. con ruolo 02-MANDATARIA,05258581213-B5 s.r.l. con ruolo 01-MANDANTE,06720040630-CFC GROUP SRL con ruolo 02-MANDATARIA,01138100712-F.LLI DI CARLO S.R.L.,04537170633-DEL.MA DI MAROTTA VINCENZO E DEL GIUDICE GIUSEPPE SNC con ruolo 01-MANDANTE,01608100630-Savarese Societ√† Cooperativa con ruolo 02-MANDATARIA</t>
  </si>
  <si>
    <t>Strumentazione e attrezzature</t>
  </si>
  <si>
    <t>10794580158-GIAKOVA SRL ,04681810281-MEASUREIT S.R.L,03616040964-Farnell Italia SRL ,10765880157-Distrelec  Italia  s.r.l,02267810964-RS Components s.r.l.,10740121008-Electro Rent s.r.l.,02778790218-CONRAD ELECTRONIC ITALIA SRL</t>
  </si>
  <si>
    <t xml:space="preserve">10794580158-GIAKOVA SRL </t>
  </si>
  <si>
    <t>114779.74</t>
  </si>
  <si>
    <t>Spese per pubblicazioni scientifiche- Elsevier - Prof.ssa De Nicola</t>
  </si>
  <si>
    <t>NL005033019B01-Elsevier BV</t>
  </si>
  <si>
    <t>1861.5</t>
  </si>
  <si>
    <t>Lavori di riqualificazione dei prospetti SUD ed EST dell'immobile denominato Palazzo San Domenico, mediante il ricorso al Bonus Facciate</t>
  </si>
  <si>
    <t>01881650616-COSTRUZIONI DE.M.AL. SRL,01190850626-MATURO COSTRUZIONI SRL,02483170367-I.M.E.SRL,06206891217-R.C.R. RESTAURI S.R.L.,05641980726-MANUTENZIONI SRL,04925950653-SAMOA RESTAURI SRL</t>
  </si>
  <si>
    <t>04925950653-SAMOA RESTAURI SRL</t>
  </si>
  <si>
    <t>150768.57</t>
  </si>
  <si>
    <t>3199.0</t>
  </si>
  <si>
    <t>Rinnovo adesione allAssociazione Italiana Biblioteche (AIB) ed acquisto quattro (4) licenze per l'utilizzo del sistema di classificazione Web Dewey Italiana per l'anno 2021</t>
  </si>
  <si>
    <t>02903570584-AIB- Associazione Italiana Biblioteche</t>
  </si>
  <si>
    <t>656.0</t>
  </si>
  <si>
    <t>realizzazione tre aule telematiche per la didattica a distanza Trattativa Diretta MEPA 1355033</t>
  </si>
  <si>
    <t>04619910633-CONUS SRL</t>
  </si>
  <si>
    <t>39859.0</t>
  </si>
  <si>
    <t>Servizio di Manutenzione ed assistenza portale Share Catalogue</t>
  </si>
  <si>
    <t>06851241007-@CULT SRL</t>
  </si>
  <si>
    <t>Affidamento diretto ex art. 36, comma 2, lett. a) del D. Lgs. 50/2016, alla Societ√† BIO-RAD LABORATORIES S.r.l., con sede a Segrate (MI), Via Cellini, n.18/A  - Cap. 20090  P.IVA 00801720152, per l'acquisto di attrezzature tecnico-scientifiche per il laboratorio di Chimica presso il Dipartimento di Scienze e Tecnologie, relativo al progetto  DOTTPONXXXIII/GRAMAZIO- Budget 40% Dottorati , il cui responsabile scientifico √® la Prof.ssa Maria Moreno</t>
  </si>
  <si>
    <t>Affidamento diretto alla Societ√† Le Sentenze.it S.r.l.s. per la sottoscrizione dell'abbonamento alla banca dati Lesentenze.it - Anno 2021</t>
  </si>
  <si>
    <t>01733860629-Lesentenze</t>
  </si>
  <si>
    <t>150.0</t>
  </si>
  <si>
    <t>Affidamento diretto ex art. 36, comma 2, lett. a) del D. Lgs. 50/2016, alla Societ√† Societ√† MICROTECH S.r.l., con sede a Napoli (NA), Viale Augusto,162 - Cap. 80125  P.IVA /C.F. 05791560633,per l'acquisto di materiale di consumo per il Laboratorio di Biologia Animale  presso il Dipartimento di Scienze e Tecnologie, relativo al progetto Veritas-Viticoltura di precisione per produzioni sostenibili di qualit√† con caratteristiche funzionali, CUPB84I20000820005 di cui √® responsabile scientifico la Prof.ssa Rosaria Sciarrillo</t>
  </si>
  <si>
    <t>Affidamento diretto, ai sensi dellart.36, comma 2, lettera a) del D. Lgs. 18 aprile 2016, n. 50, alla Societ√† Guerri Mario s.a.s. per lacquisizione di n. 1 box in metallo per la restituzione dei libri e supporti multimediali</t>
  </si>
  <si>
    <t xml:space="preserve">04832360632-Guerri Mario sas di Margherita Guerri,05173030015-PROMAL </t>
  </si>
  <si>
    <t>04832360632-Guerri Mario sas di Margherita Guerri</t>
  </si>
  <si>
    <t>3965.0</t>
  </si>
  <si>
    <t>Acquisto monografie in adesione ad Accordo Quadro lotto1 G00601L001</t>
  </si>
  <si>
    <t>2833.0</t>
  </si>
  <si>
    <t>Spese per pubblicazioni scientifiche JOHN WILEY_ Dott.ssa Sciarrillo</t>
  </si>
  <si>
    <t>99999999999-John Wiley &amp; Sons, Inc</t>
  </si>
  <si>
    <t>816.0</t>
  </si>
  <si>
    <t xml:space="preserve">Pubblicit√† legale - avviso di esito su "Il Mattino edizione Benevento"  </t>
  </si>
  <si>
    <t>08526500155-Piemme spa Concessionaria di Pubblicit√†</t>
  </si>
  <si>
    <t>457.0</t>
  </si>
  <si>
    <t>n.2 server rackable per lab. polifunzionale adesione convenzione consip tecnologie server 3</t>
  </si>
  <si>
    <t>Abbonamento riviste cartacee per il 2021</t>
  </si>
  <si>
    <t>00289510638-Edizioni Scientifiche Italiane Spa</t>
  </si>
  <si>
    <t>1183.5</t>
  </si>
  <si>
    <t>Acquisto della banca dati di riviste digitali "JoVE - Journal of Visualized Experiments"</t>
  </si>
  <si>
    <t>208388889-JOVE - Journal of Visualized Experiments</t>
  </si>
  <si>
    <t>22500.0</t>
  </si>
  <si>
    <t>Fornitura di notebook per le esigenze del Delegato ai Rapporti internazionali, Prof. Biagio Simonetti</t>
  </si>
  <si>
    <t>2142.56</t>
  </si>
  <si>
    <t>Manutenzione e fornitura SMS per OTP, relativi ai certificati di firma digitale remota</t>
  </si>
  <si>
    <t>5648.0</t>
  </si>
  <si>
    <t>Affidamento diretto per la fornitura di n. 1 carrello portalibri in metallo e n. 60 reggilibri in metallo</t>
  </si>
  <si>
    <t>1140.0</t>
  </si>
  <si>
    <t>Lavori di per la realizzazione di un Laboratorio di Ricerca Sperimentale e Didattica avanzata nell'area dell'ingegneria civile, con particolare riferimento all'ingegneria sismica e dei materiali da costruzione, alla geotecnica ed alle costruzioni idrauliche</t>
  </si>
  <si>
    <t>04339021000-EDIL ROMA  S.R.L.,07129410721-SUD SERVICE SRL,00792700627-De Masi S.r.l.,01881650616-COSTRUZIONI DE.M.AL. SRL,04128780618-GIZA COSTRUZIONI S.R.L.S.,80005530631-PROTECNO IMPIANTI SRL,02099930618-COGESA DI CORVINO VINCENZO S.R.L.,03568420636-VA.BEN SRL,05083661214-D'ALESSANDRO COSTRUZIONI SRL,06182760725-CAPORALE S.r.l,14269521002-GE.TI COSTRUZIONI GENERALI S.R.L.,01600330615-VINCENZO MODUGNO SRL,03931011211-COSTRUZIONI VITALE S.R.L.,04732890654-Vangone s.r.l.</t>
  </si>
  <si>
    <t>Affidamento diretto, ai sensi dellart. 36 comma 2 lett. a) del D.lgs. 50/2016 e s.m.i. (strumenti di negoziazione e strumenti di acquisto), con applicazione dellart. 1, comma2, D.L. 16 luglio 2020 n. 76 convertito in  legge 11 settembre 2020 n. 120, per la conclusione di un Accordo Quadro con unico operatore economico, ai sensi dellart.54 comma 3 del D.lgs 50/2016 e s.m.i., valido per 36 mesi, per la fornitura a somministrazione, resa franco d'imballo, trasporto e consegna, di prodotti reagenti per separazione e analisi proteine necessari al funzionamento dei Laboratori chimici e biologici del Dipartimento di Scienze e Tecnologie dellUniversit√† degli Studi del Sannio  via Francesco De Sanctis, snc  82100 Benevento</t>
  </si>
  <si>
    <t>Affidamento diretto, ex art. 36, comma 2, lett.a), del D. Lgs. 50/2016, per acquisto di Camere Digitali Moticam,  per la manutenzione del microscopio in dotazione del Dipartimento di Scienze e Tecnologie, mediante Ordine diretto di Acquisto  ODA sul Mercato Elettronico della Pubblica Amministrazione - MEPA</t>
  </si>
  <si>
    <t>07057740156-SENECO SRL</t>
  </si>
  <si>
    <t>1809.24</t>
  </si>
  <si>
    <t>Pubblicazioni articolo scientifico MDPI_ Maresca</t>
  </si>
  <si>
    <t>604.3</t>
  </si>
  <si>
    <t xml:space="preserve">Affidamento del servizio di intermediazione tecnologica verso la piattaforma pubblica SIOPE+, compreso il servizio di conservazione a norma </t>
  </si>
  <si>
    <t>02260390220-Argentea S.r.l.</t>
  </si>
  <si>
    <t>4600.0</t>
  </si>
  <si>
    <t>Acquisizione di un monte ore per lo sviluppo di personalizzazioni dell'applicativo HR per la gestione delle rilevazioni presenze</t>
  </si>
  <si>
    <t>05006900962-Societ√† per azioni ZUCCHETTI</t>
  </si>
  <si>
    <t>2720.0</t>
  </si>
  <si>
    <t xml:space="preserve">Pubblicazioni articolo scientifico MDPI _ Sciarrillo </t>
  </si>
  <si>
    <t>1667.75</t>
  </si>
  <si>
    <t>Affidamento diretto ex art. 36, comma 2, lett. a) del D. Lgs. 50/2016, alla Societ√† LEVANCHIMICA S.r.l., con sede a Bari (BA), Viale T. Columbo, 41 - Cap.70132   C.F./P.IVA 03587930722,  per l'acquisto di materiale di consumo per i Laboratori  del  Dipartimento di Scienze e Tecnologie.</t>
  </si>
  <si>
    <t>Affidamento di Servizi Tecnici Aggiuntivi per esigenze indifferibili connesse alla realizzazione di un laboratorio di Ricerca Sperimentale dellarea dellingegneria civile, con particolare riferimento allingegneria sismica, geotecnica e costruzioni idrauliche- Ing. Mandarino</t>
  </si>
  <si>
    <t>MNDNNL61L13A783M-Studio tecnico ing. Antonello Mandarino</t>
  </si>
  <si>
    <t>37793.6</t>
  </si>
  <si>
    <t>Software PROFIS Sistemi Soluzioni Gestionali e Servizi Fiscali - Modulo 730/2021 e relativi servizi</t>
  </si>
  <si>
    <t>Lotto I  C.I.G.: 8682750FF4, C.U.P.: F85F21000830005, Complesso Immobiliare denominato EX INPS</t>
  </si>
  <si>
    <t>05500170633-LA.RE.FIN. S.r.l.</t>
  </si>
  <si>
    <t>425796.77</t>
  </si>
  <si>
    <t>Schede di elaborazione e prototipazione</t>
  </si>
  <si>
    <t xml:space="preserve">Determina di affidamento diretto di Materiale Informatico Vario, tramite Accordo Quadro stipulato dall'Ateneo, ad esito di R.D.O. sul M.E.P.A. (Decreto Direttoriale del 02 marzo 2021, n. 239), con il fornitore Mods Art S.r.l.,, per esigenze di ricerca e didattica del Dipartimento di Scienze e Tecnologie, ai sensi dell'art. 36, co 2, lett. a) del D.Lgs. 50/2016 </t>
  </si>
  <si>
    <t>02317340699-MODS ART SRL</t>
  </si>
  <si>
    <t>503.33</t>
  </si>
  <si>
    <t>Affidamento diretto, ai sensi dellart.36, comma 2, lettera a) del D. Lgs. 18 aprile 2016, n. 50, alla Societ√† La Tribuna S.r.l. per la sottoscrizione dellabbonamento annuale, a decorrere dalla data di attivazione, alla banca dati online ForoPlus, evoluzione di Foro Italiano Alfa.</t>
  </si>
  <si>
    <t>01107460337-La Tribuna</t>
  </si>
  <si>
    <t>2623.0</t>
  </si>
  <si>
    <t>Richiesta di Offerta (R.d.O.) sul Mepa ai sensi dell'articolo 36, comma 2, lett. b) del Decreto Legislativo 50/2016 e ss.mm.ii, per l'affidamento, a mezzo Accordo Quadro di durata triennale, della fornitura di Personal Computer, Server, Notebook e Tablet, con invito rivolto a tutti gli Operatori Economici abilitati al Bando MEPA Beni Categoria Informatica, Elettronica, Telecomunicazioni e Macchine per Ufficio, da aggiudicarsi ad unico Operatore Economico</t>
  </si>
  <si>
    <t>Servizi di campionamento per analisi stratigrafiche presso Villa Perrotta</t>
  </si>
  <si>
    <t>DLLPLA90E08A509U-lithos di Paolo Dello russo</t>
  </si>
  <si>
    <t>4960.0</t>
  </si>
  <si>
    <t>Affidamento diretto ex art. 36, comma 2, lett. a) del D. Lgs. 50/2016, alla Societ√† Editoriale Scientifica Srl -pubblicazione del volume dal titolo "Innovare senza brevettare. Resistenze a start-up italiane "della  Prof.ssa Gilda Antonelli.</t>
  </si>
  <si>
    <t>00787110634-Editoriale Scientifica Srl</t>
  </si>
  <si>
    <t>2250.0</t>
  </si>
  <si>
    <t>Lotto II  C.I.G.: 8682759764, C.U.P.: F85F21000840005, Complesso Immobiliare denominato EX POSTE DI VIA TRAIANO</t>
  </si>
  <si>
    <t>01143770624-RICCI COSTRUZIONI</t>
  </si>
  <si>
    <t>299187.56</t>
  </si>
  <si>
    <t>Richiesta di Offerta (R.d.O.) sul Mepa ai sensi dello articolo 36, comma 2, lett. b) del Decreto Legislativo 50/2016 e ss.mm.ii, per lo affidamento, a mezzo Accordo Quadro di durata triennale, della fornitura di materiale informatico vario, con invito rivolto a tutti gli Operatori Economici abilitati al Bando MEPA Beni Categoria Informatica, Elettronica Telecomunicazioni e Macchine per Ufficio, da aggiudicarsi ad unico Operatore Economico</t>
  </si>
  <si>
    <t>Adesione Convenzione Consip Apparecchiature multifunzione 32 - Lotto 4 - Data di attivazione Agosto 2021 - Durata noleggio 60 mesi</t>
  </si>
  <si>
    <t>02298700010-Olivetti s.p.a.</t>
  </si>
  <si>
    <t>3263.05</t>
  </si>
  <si>
    <t>Acquisto di attrezzature informatiche per il Progetto FUSION su richiesta del prof. Matteo Savino</t>
  </si>
  <si>
    <t>01471180628-NOVA INFORMATION TECHNOLOGY SCRL</t>
  </si>
  <si>
    <t>6980.0</t>
  </si>
  <si>
    <t>RAD449_Pubblicazione articolo scientifico rivista Frontiers Prof.ssa Concetta Ambrosino</t>
  </si>
  <si>
    <t>2950.0</t>
  </si>
  <si>
    <t>Affidamento diretto ex art. 36, comma 2, lett. a) del D. Lgs. 50/2016, alla Societ√† BIO-RAD LABORATORIES S.r.l., con sede a Segrate (MI), Via Cellini, n.18/A  - Cap. 20090  P.IVA 00801720152,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</si>
  <si>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Affidamento diretto ex art. 36, comma 2, lett. a) del D. Lgs. 50/2016, per la fornitura di licenze annuali Webex</t>
  </si>
  <si>
    <t>11433481006-AXIANS Brandid SpA</t>
  </si>
  <si>
    <t>4100.0</t>
  </si>
  <si>
    <t>Lotto 1: fornitura di monografie scientifiche e/o didattiche e di altre tipologie di materiale a carattere monografico su supporto analogico o digitale, quali Cd-ROM, DVD, film, carte geografiche, foto aeree, e-book, etc., edite da case editrici italiane e straniere (di nazionalit√† appartenenti o non appartenenti allUnione Europea), per un importo stimato pari ad  60.000,00 (sessantamila/00);</t>
  </si>
  <si>
    <t>47220.0</t>
  </si>
  <si>
    <t>Simulatore di elettrocardiogramma a 12 lead e onda di respirazione a 2 lead RIGEL medical PatSim200_DE VITO_ATTICUS_DING</t>
  </si>
  <si>
    <t>1512.0</t>
  </si>
  <si>
    <t>inizio 30/04/2022, ultimazione 31/08/2022</t>
  </si>
  <si>
    <t>Affidamento diretto per componentistica utile allo svolgimento delle attivit√† di ricerca su fibre ottiche_prof. Marco PISCO</t>
  </si>
  <si>
    <t xml:space="preserve">00466240348-GLENAIR ITALIA SPA </t>
  </si>
  <si>
    <t>7234.4</t>
  </si>
  <si>
    <t>inizio 31/01/2022</t>
  </si>
  <si>
    <t>RAD483_ Pubblicazione su rivista scientifica CCC prof.ssa Silvia Ullo</t>
  </si>
  <si>
    <t>99999999999-COPYRIGHT CLEARANCE CENTER</t>
  </si>
  <si>
    <t>1525.0</t>
  </si>
  <si>
    <t>inizio 14/01/2022</t>
  </si>
  <si>
    <t>Affidamento per pubblicazione articolo su rivista scientifica_Prof. Alfredo Vaccaro</t>
  </si>
  <si>
    <t>450.0</t>
  </si>
  <si>
    <t>Copertura assicurativa per la Responsabilit√† civile patrimoniale</t>
  </si>
  <si>
    <t>12525420159-XL Insurance Company SE</t>
  </si>
  <si>
    <t>60870.0</t>
  </si>
  <si>
    <t>inizio 01/01/2022</t>
  </si>
  <si>
    <t>20290.0</t>
  </si>
  <si>
    <t>Fornitura dell'Abbonamento per il Triennio 2022-2024 della Gazzetta Asta e Appalti Pubblici</t>
  </si>
  <si>
    <t>00205740426-EDITRICE SIFIC SRL</t>
  </si>
  <si>
    <t>2760.0</t>
  </si>
  <si>
    <t>Affidamento diretto pubblicazione su rivista scientifica _prof.ssa Paolucci</t>
  </si>
  <si>
    <t>1800.0</t>
  </si>
  <si>
    <t>inizio 01/01/2022, ultimazione 30/01/2022</t>
  </si>
  <si>
    <t>Copertura assicurativa Infortuni e Kasko dipendenti in missione</t>
  </si>
  <si>
    <t>08037550962-AIG Europe Limited</t>
  </si>
  <si>
    <t>16762.5</t>
  </si>
  <si>
    <t>5587.5</t>
  </si>
  <si>
    <t>Adesione accordo quadro pgt PRIN2017 ACIERNO</t>
  </si>
  <si>
    <t>446.59</t>
  </si>
  <si>
    <t>Affidamento del servizio di Copertura indennitaria da Sindromi influenzali di natura pandemica per i soggetti partecipanti alle azioni di mobilit√† Erasmus Studio e Traineeships dell'Universit√† degli Studi del Sannio dalle ore 24.00 del 31 dicembre 2021 fino alle ore 24.00 del  31 dicembre 2022</t>
  </si>
  <si>
    <t>05796440963-Intesa San Paolo RBM Salute s.p.a</t>
  </si>
  <si>
    <t>1750.0</t>
  </si>
  <si>
    <t>inizio 01/01/2022, ultimazione 31/12/2022</t>
  </si>
  <si>
    <t>Copertura assicurativa All Risks Property</t>
  </si>
  <si>
    <t>00409920584-Generali Italia S.p.A.</t>
  </si>
  <si>
    <t>155871.0</t>
  </si>
  <si>
    <t>51957.0</t>
  </si>
  <si>
    <t>Copertura assicurativa All Risks Elettronica</t>
  </si>
  <si>
    <t>00818570012-UnipolSai Assicurazioni S.p.A.</t>
  </si>
  <si>
    <t>88725.0</t>
  </si>
  <si>
    <t>29575.0</t>
  </si>
  <si>
    <t>Copertura assicurativa RCT/O</t>
  </si>
  <si>
    <t>47880.0</t>
  </si>
  <si>
    <t>15960.0</t>
  </si>
  <si>
    <t>Affidamento del servizio Copertura assicurativa Infortuni Cumulativa per il periodo compreso tra le ore 24 del 31 dicembre 2021 e le ore 24.00 del 31 dicembre 2022</t>
  </si>
  <si>
    <t>6468.0</t>
  </si>
  <si>
    <t>Pubblicazione su rivista scientifica internazionale Enviromrnt Pollution - prof.ssa Lorella Canzoniero</t>
  </si>
  <si>
    <t>2124.0</t>
  </si>
  <si>
    <t>inizio 31/12/2021, ultimazione 31/01/2022</t>
  </si>
  <si>
    <t xml:space="preserve">Microsoft surface go type budget 40%DOTT Menanno </t>
  </si>
  <si>
    <t>01268220504-Computer Shop di Comparini Paolo &amp; C.SNC</t>
  </si>
  <si>
    <t>699.18</t>
  </si>
  <si>
    <t>inizio 30/12/2021, ultimazione 30/12/2021</t>
  </si>
  <si>
    <t>Analisi di mercato degli alimenti salutistici e funzionali nell'ambito del progetto Wellness Twenty Hours - Sportello AGRIFOOD - DEMM_ prof.ssa Conceta Nazzaro</t>
  </si>
  <si>
    <t>1111111-MORDOR</t>
  </si>
  <si>
    <t>3912.0</t>
  </si>
  <si>
    <t>Affidamento diretto, ex art. 36, comma 2, lett.a), del D. Lgs. 50/2016,  per lacquisto di acquisto di n. 1 cellulare per lo svolgimento delle attivit√† di servizio, richiesto dal Prof. Massimo Squillante quale direttore del Dipartimento di Diritto, Economia, Management e Metodi quantitativi - Demm, mediante Ordine diretto di Acquisto  ODA sul Mercato Elettronico della Pubblica Amministrazione - MEPA.</t>
  </si>
  <si>
    <t>DMRMSM69R06F965Z-MD RADIO COMUNICAZIONI</t>
  </si>
  <si>
    <t>756.54</t>
  </si>
  <si>
    <t>inizio 29/12/2021, ultimazione 28/01/2022</t>
  </si>
  <si>
    <t>0.0</t>
  </si>
  <si>
    <t>Affidamento diretto ex art. 36, comma 2, lett. a) del D. Lgs. 50/2016, alla Societ√† SARSTEDT  S.r.l., con sede a Trezzano sul Naviglio (MI), Viale Leonardo da Vinci, n.97 - Cap. 20090  P.IVA 02217770235 e C.F. 00695940213, per l'acquisto di materiale di consumo per il laboratorio di Biologia Molecolare presso il Dipartimento di Scienze e Tecnologia, relativo al progetto NEON Nanofotonica per nuovi approcci diagnostici e terapeutici in Oncologia e Neurologia, di cui √® responsabile scientifico la Prof.ssa Lina Sabatino.</t>
  </si>
  <si>
    <t>1142.0</t>
  </si>
  <si>
    <t>inizio 29/12/2021</t>
  </si>
  <si>
    <t>Affidamento diretto ex art. 36, comma 2, lett. a) del D. Lgs. 50/2016, alla M&amp;M BIOTECH S.c.a.r.l. con sede a Napoli (NA), Via de Bonis G.Generale, n.81 - Cap. 80123 - P.IVA/C.F. 05632311212, per l'acquisto di materiale di consumo per il Laboratorio di Biochimica presso il Dipartimento di Scienze e Tecnologie, che graver√† sui fondi Fondo 10% Dottorandi_RAPUANO , di cui √® titolare  il Prof. Angelo Lupo.</t>
  </si>
  <si>
    <t>05632311212-M&amp;M Biotech S.c.a.r.l.</t>
  </si>
  <si>
    <t>798.8</t>
  </si>
  <si>
    <t xml:space="preserve">Affidamento diretto ex art. 36, comma 2, lett. a) del D. Lgs. 50/2016, alla Societ√†  EXACTA+OPTECH LABCENTER S.p.A., con sede in San Prospero (MO), Via Bosco, n. 21 - Cap. 41030  P.IVA/C.F. 01022690364, dellacquisto di materiale di consumo per il Laboratorio di Chimica presso il Dipartimento di Scienze e Tecnologie, che graver√† sul fondo del progetto Fondi DOTTPON40%XXXIII_GRAMAZIO, di cui √® titolare  la Prof.ssa Roberta Spadaccini </t>
  </si>
  <si>
    <t>01022690364-EXACTA+OPTECH LABCENTER Spa</t>
  </si>
  <si>
    <t>3108.73</t>
  </si>
  <si>
    <t>Affidamento diretto ex art. 36, comma 2, lett. a) del D. Lgs. 50/2016, alla Societ√† CONSUL S.r.l., con sede a Napoli (Na), Via Posillipo, n.316 - Cap. 80123  P.IVA 06768650639, per l'acquisto di materiale di consumo per il Laboratorio di Biologia Animale presso il Dipartimento di Scienze e Tecnologie, relativo al progetto FABR_Imperatore, di cui √® responsabile scientifico la  Prof.ssa Roberta Imperatore</t>
  </si>
  <si>
    <t>06768650639-CONSUL SRL</t>
  </si>
  <si>
    <t>440.0</t>
  </si>
  <si>
    <t>Affidamento diretto ex art. 36, comma 2, lett. a) del D. Lgs. 50/2016, alla Societ√† EUROCLONE S.p.A. a socio unico, con sede a Milano (MI), Via Spezia,1 - Cap. 20142  P.IVA/C.F. 08126390155, dell'acquisto di materiale di consumo per il laboratorio di  Fisiologia,Endocrinologia e Metabolismo del  Dipartimento di Scienze e Tecnologie che graver√† sul fondo relativo al progetto IMM - Interiors con Materiali Multifunzionali, di cui √® responsabile scientifico la Prof.ssa Elena Silvestri</t>
  </si>
  <si>
    <t>08126390155-EUROCLONE SPA</t>
  </si>
  <si>
    <t>506.25</t>
  </si>
  <si>
    <t>Affidamento diretto ex art. 36, comma 2, lett. a) del D. Lgs. 50/2016, alla Societ√† AUROGENE S.r.l., con sede a Roma (RM), Via dei Lucani, n.51-53-55 - Cap. 00185  P.IVA 10926691006,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</si>
  <si>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10926691006-AUROGENE S.R.L.</t>
  </si>
  <si>
    <t>2188.2</t>
  </si>
  <si>
    <t>Affidamento diretto ex art. 36, comma 2, lett. a) del D. Lgs. 50/2016, alla Societ√† alla Societ√† CHEIMIKA SAS di Heim Jurgen con sede a Pellazzano (SA) in Via S. De Vita,19  Cap 84080 P.IVA/C.F.05317000650, per l'acquisto di materiale di consumo per il Laboratorio di Chimica Macromolecolare  presso il Dipartimento di Scienze e Tecnologie, relativo al progetto FRA_Pappalardo, di cui √® titolare la Prof.ssa Daniela Pappalardo.</t>
  </si>
  <si>
    <t>05317000650-Cheimika Sas di Heim Jurgen</t>
  </si>
  <si>
    <t>1177.57</t>
  </si>
  <si>
    <t>Datalogger temperatura umidit√† portatile laboratorio Fisica Tecnica per utilizzo Didattica Avanzata Dipartimento di Eccellenza</t>
  </si>
  <si>
    <t>10498780153-TESTO SPA</t>
  </si>
  <si>
    <t>859.87</t>
  </si>
  <si>
    <t>inizio 28/12/2021, ultimazione 30/12/2021</t>
  </si>
  <si>
    <t>Affidamento diretto per la digitalizzazione delle schede di rischio dei compononenti non strutturali_Prof. Giuseppe Maddaloni</t>
  </si>
  <si>
    <t>07706970634-MARPAS SRL</t>
  </si>
  <si>
    <t>5500.0</t>
  </si>
  <si>
    <t>inizio 28/12/2021</t>
  </si>
  <si>
    <t>Pubblicazione articolo su rivista scientifica_prof. Giuseppe Maddaloni</t>
  </si>
  <si>
    <t>1803.43</t>
  </si>
  <si>
    <t>inizio 28/12/2021, ultimazione 28/12/2021</t>
  </si>
  <si>
    <t xml:space="preserve">Affidamento diretto ex art. 36, comma 2, lett. a) del D. Lgs. 50/2016, alla Societ√† alla Societ√† CABRU S.a.s. con sede a Arcore (MB) in Via Forlanini, 52   Cap 20862 C.F.04168470153 e  P.IVA 04869950156, per l'acquisto di materiale di consumo per il Laboratorio di Biologia Animale presso il Dipartimento di Scienze e Tecnologie, relativo al progetto Fondi Dottorati DST 10%-  Facchiano Serena, di cui √® titolare la Prof.ssa Marina Paolucci.  </t>
  </si>
  <si>
    <t>04168470153-CABRU SAS DI BRUNO CASAGRANDE &amp; C.</t>
  </si>
  <si>
    <t>262.0</t>
  </si>
  <si>
    <t>inizio 23/12/2021</t>
  </si>
  <si>
    <t xml:space="preserve">Affidamento diretto ex art. 36, comma 2, lett. a) del D. Lgs. 50/2016, alla Societ√† CONSUL S.r.l., con sede a Napoli (Na), Via Posillipo, n.316 - Cap. 80123  P.IVA 06768650639, del servizio di riparazione dell'attrezzatura  Microtomo Leica RM2025 per i laboratori didattici del  Dipartimento di Scienze e Tecnologie </t>
  </si>
  <si>
    <t>780.0</t>
  </si>
  <si>
    <t xml:space="preserve">Affidamento diretto ex art. 36, comma 2, lett. a) del D. Lgs. 50/2016,   alla Casa Editrice Wolters Kluwer Italia Srl con sede a Milano in Via dei Missaglia n. 97 cap. 20142 per la stampa e  Pubblicazione del volume  dal titolo Il fine-vita e la dignit√† del morire del Prof. Giuseppe Vacchiano </t>
  </si>
  <si>
    <t>10209790152-WOLTERS KLUWER ITALIA S.R.L.</t>
  </si>
  <si>
    <t>3465.0</t>
  </si>
  <si>
    <t>inizio 22/12/2021, ultimazione 30/12/2021</t>
  </si>
  <si>
    <t xml:space="preserve">GARA EUROPEA A PROCEDURA APERTA PER L'APPALTO DI FORNITURA E POSA IN OPERA DI ARREDI PER L'ALLESTIMENTO DI AULE E LABORATORI DIDATTICI PRESSO IL COMPLESSO IMMOBILIARE DENOMINATO "QUARTO STRALCIO FUNZIONALE" </t>
  </si>
  <si>
    <t>01656860622-DA.FA. Arredo Design srl,02900360658-SIAR srl con ruolo 01-MANDANTE,01932130790-Camillo Sirianni di Sirianni Angelo Francesco S.a.s. con ruolo 02-MANDATARIA</t>
  </si>
  <si>
    <t>02900360658-SIAR srl con ruolo 01-MANDANTE,01932130790-Camillo Sirianni di Sirianni Angelo Francesco S.a.s. con ruolo 02-MANDATARIA</t>
  </si>
  <si>
    <t>366909.15</t>
  </si>
  <si>
    <t>inizio 22/12/2021</t>
  </si>
  <si>
    <t>Progettazione architettonica  direttore operativo e consuntivo scientifico dei ADEGUAMENTO FUNZIONALE E TECNOLOGICO, MESSA IN SICUREZZA ED EFFICIENTAMENTO ENERGETICO DI PALAZZO SAN DOMENICO e restauro delle facciate</t>
  </si>
  <si>
    <t>VRDMTA64D51H953B-Studio di Architettura Amata Verdino</t>
  </si>
  <si>
    <t>12000.0</t>
  </si>
  <si>
    <t>inizio 22/12/2021, ultimazione 01/12/2022</t>
  </si>
  <si>
    <t>RESTAURO DELLAFFRESCO RAFFIGURANTE LA CROCIFISSIONE DI CRISTO SITO NELLA CHIESA DI SANTAGOSTINO DI BENEVENTO</t>
  </si>
  <si>
    <t>03100900640-Pheliana srl</t>
  </si>
  <si>
    <t>1024.79</t>
  </si>
  <si>
    <t>inizio 22/12/2021, ultimazione 30/04/2022</t>
  </si>
  <si>
    <t>Affidamento diretto ai sensi dell'art. 36, comma 2, lett. a) del D.Lgs 50/2016, e ss.mm.ii., del servizio in SaaS del sistema di gestione del ciclo delle performance Strategic PA Obiettivi e Performance (2022-2024)</t>
  </si>
  <si>
    <t>01448300689-Ecoh Media srl</t>
  </si>
  <si>
    <t>17280.0</t>
  </si>
  <si>
    <t>inizio 21/12/2021</t>
  </si>
  <si>
    <t>Servizio di pubblicazione estratto Avviso esplorativo manifestazione interesse vendita/locazione Polo didattico Via Calandra sul quotidiano "Il Sannio Quotidiano"</t>
  </si>
  <si>
    <t>200.0</t>
  </si>
  <si>
    <t>inizio 21/12/2021, ultimazione 21/12/2021</t>
  </si>
  <si>
    <t>Affidamento direttto, ai sensi dell'articolo 36, comma 2, D.Lgs 50/2016 e ss.mm.ii., del servizio di abbonamento digitale annuale al quotidiano il mattino</t>
  </si>
  <si>
    <t>11476541005-Ced Digital &amp; Servizi</t>
  </si>
  <si>
    <t>192.3</t>
  </si>
  <si>
    <t>inizio 20/12/2021, ultimazione 20/12/2022</t>
  </si>
  <si>
    <t>Affidamento diretto ex art. 36, comma 2, lett. a) del D. Lgs. 50/2016, per l'acquisizione di Notebook MSI per esigenze di ricerca della professoressa Silvia Ullo nellambito del progetto OSIP dellESA (Agenzia Spaziale Europea) del  Dipartimento di Ingegneria, mediante ordine diretto sulla Piattaforma del Mercato Elettronico della Pubblica Amministrazione  - MEPA.</t>
  </si>
  <si>
    <t>10324241008-ULTRAPROMEDIA S.R.L.</t>
  </si>
  <si>
    <t>5733.45</t>
  </si>
  <si>
    <t>inizio 20/12/2021, ultimazione 31/12/2021</t>
  </si>
  <si>
    <t>Servizio di pubblicazione estratto Avviso esplorativo manifestazione interesse vendita/locazione Polo didattico Via Calandra sul quotidiano "Corriere del Mezzogiorno ed. regionale"</t>
  </si>
  <si>
    <t>11484370967-Cairo RSC MEDIA S.p.A.</t>
  </si>
  <si>
    <t>inizio 18/12/2021, ultimazione 18/12/2021</t>
  </si>
  <si>
    <t xml:space="preserve">Affidamento, del Servizio di raccolta, ritiro e conferimento a discarica di rifiuti,  ai sensi dellarticolo 36, comma 2, lettera a), del D.Lgs. 50/2016 e s.m.i. a favore delloperatore economico IRPINIA RECUPERI S.R.L. - P.IVA:01970330641 - Via Tufarole n.72, 83042 Atripalda (AV).   </t>
  </si>
  <si>
    <t>01970330641-IRPINIA RECUPERI SRL</t>
  </si>
  <si>
    <t>2108.0</t>
  </si>
  <si>
    <t>inizio 17/12/2021, ultimazione 23/12/2021</t>
  </si>
  <si>
    <t>Determina di affidamento diretto di Materiale di carta A4 e A3, tramite Accordo Quadro stipulato dallAteneo, ad esito di R.D.O. sul M.E.P.A. (Decreto Direttoriale del 26 ottobre 2020, prot. n. 1685), con il fornitore Alex Office &amp; Business Srl, per esigenze di  didattica del Dipartimento di Diritto, Economia, Management e Metodi Quantitativi-DEMM ai sensi dell'art. 36, co 2, lett. a) del D.Lgs. 50/2016</t>
  </si>
  <si>
    <t>01688970621-ALEX OFFICE &amp; BUSINESS SRL</t>
  </si>
  <si>
    <t>1246.9</t>
  </si>
  <si>
    <t>inizio 16/12/2021, ultimazione 31/12/2021</t>
  </si>
  <si>
    <t>Affidamento diretto attrezzature laboratorio "misure" Progetto DIP. ECCELLENZA</t>
  </si>
  <si>
    <t>04681810281-MEASUREIT S.R.L</t>
  </si>
  <si>
    <t>36864.0</t>
  </si>
  <si>
    <t>inizio 16/12/2021</t>
  </si>
  <si>
    <t>Determina di affidamento diretto di Materiale di cancelleria, tramite Accordo Quadro stipulato dallAteneo, ad esito di R.D.O. sul M.E.P.A. (Decreto Direttoriale del 26 ottobre 2020, prot. n. 1685), con il fornitore Errebian Srl , per esigenze di  didattica del Dipartimento di Diritto, Economia, Management e Metodi Quantitativi-DEMM, ai sensi dell'art. 36, co 2, lett. a) del D.Lgs. 50/2016 di  886,91 oltre IVA</t>
  </si>
  <si>
    <t>08397890586-ERREBIAN SPA</t>
  </si>
  <si>
    <t>886.91</t>
  </si>
  <si>
    <t>partecipazione alla manifestazione Orienta Sud 2021 digital</t>
  </si>
  <si>
    <t>12873291004-ALL  SOCIAL SRL</t>
  </si>
  <si>
    <t>3200.0</t>
  </si>
  <si>
    <t>inizio 15/12/2021, ultimazione 21/12/2021</t>
  </si>
  <si>
    <t>Calorimetro differenziale per lanalisi delle propriet√† di capioni in finzione della temperatura_ prof. Stefano Acierno</t>
  </si>
  <si>
    <t>03847660960-M.PENATI STRUMENTI SRL</t>
  </si>
  <si>
    <t>26495.0</t>
  </si>
  <si>
    <t>inizio 15/12/2021</t>
  </si>
  <si>
    <t>riparazione e recupero dati pc mac book pro in dotazione prof.ssa Del Vecchio</t>
  </si>
  <si>
    <t>05984211218-R STORE Spa</t>
  </si>
  <si>
    <t>1090.98</t>
  </si>
  <si>
    <t>inizio 15/12/2021, ultimazione 31/12/2021</t>
  </si>
  <si>
    <t xml:space="preserve">Servizio di facchinaggio e  rimontaggio di arredi per le esigenze del DING.  Affidamento ai sensi dellarticolo 36, comma 2, lettera a),  del D.Lgs. 50/2016 e s.m.i. a favore delloperatore economico FPG S.R.L. - P.IVA: 13738321002- Via del Pomerio,  83042 Benevento </t>
  </si>
  <si>
    <t>13738321002-FPG SRL</t>
  </si>
  <si>
    <t>1050.0</t>
  </si>
  <si>
    <t>inizio 14/12/2021, ultimazione 17/12/2021</t>
  </si>
  <si>
    <t xml:space="preserve">Determina di affidamento diretto di Attrezzature Informatiche, tramite Accordo Quadro stipulato dallAteneo, ad esito di R.D.O. sul M.E.P.A. (Decreto Direttoriale del 25 febbraio 2021, n. 229), con il fornitore AM Informatica di Monaco Armando, per esigenze di ricerca e didattica presso il Dipartimento di Diritto, Economia, Management e Metodi, ai sensi dell'art. 36, co 2, lett. a) del D.Lgs. 50/2016 </t>
  </si>
  <si>
    <t>1260.73</t>
  </si>
  <si>
    <t>inizio 13/12/2021, ultimazione 31/12/2021</t>
  </si>
  <si>
    <t xml:space="preserve">Affidamento diretto, ai sensi dell'articolo 36, comma 2, lettera a), del Decreto Legislativo del 18 aprile 2016, n. 50, e ss.mm.ii., dei servizi pubblicitari per promuovere l'Offerta Formativa a.a. 2021/2022 della Universit√† degli Studi del Sannio </t>
  </si>
  <si>
    <t>02757950643-Consulservice srl</t>
  </si>
  <si>
    <t>400.0</t>
  </si>
  <si>
    <t>inizio 13/12/2021</t>
  </si>
  <si>
    <t xml:space="preserve">Affidamento diretto, ai sensi dell'articolo 36, comma 2, lettera a), del Decreto Legislativo del 18 aprile 2016, n. 50, e ss.mm.ii., dei servizi pubblicitari per promuovere l'Offerta Formativa a.a. 2021/2022 della Universit√† degli Studi del Sannio - Acquisto di  pagina sull'Agenda Realt√† Sannita 2022.  </t>
  </si>
  <si>
    <t>01797150628-Edizioni Realt√† Sannita della Comunione Ereditaria Fuccio Giovanni</t>
  </si>
  <si>
    <t>350.0</t>
  </si>
  <si>
    <t>Affidamento diretto, ai sensi dellart. 36, comma 2, lett. a), Decreto Legislativo 18 aprile 2016, n. 50 e ss.mm.ii, dei Servizi Legali dellUniversit√† degli Studi del Sannio, per la durata di 36 mesi</t>
  </si>
  <si>
    <t>07446051216-Studio legale Contieri Majello Mercurio e associati</t>
  </si>
  <si>
    <t>73500.0</t>
  </si>
  <si>
    <t>inizio 10/12/2021</t>
  </si>
  <si>
    <t xml:space="preserve">Affidamento diretto, ex art. 36, comma 2, lett.a), del D. Lgs. 50/2016, mediante Ordine Diretto di Acquisto con ricorso ad Operatore Economico presente nell'elenco telematico di Ateneo per un servizio di autonoleggio con conducente da effettuarsi il giorno 17 dicembre 2021 </t>
  </si>
  <si>
    <t>01417570627-AUTONOLEGGI MAZZARELLI SRL</t>
  </si>
  <si>
    <t>380.0</t>
  </si>
  <si>
    <t xml:space="preserve">Servizio di raccolta, ritiro e conferimento a discarica di rifiuti.  Affidamento ai sensi dellarticolo 36, comma 2, lettera a),  del D.Lgs. 50/2016 e s.m.i. a favore delloperatore economico IRPINIA RECUPERI S.R.L. - P.IVA:01970330641 - Via Tufarole n.72,  83042 Atripalda </t>
  </si>
  <si>
    <t>2257.0</t>
  </si>
  <si>
    <t>inizio 10/12/2021, ultimazione 28/02/2022</t>
  </si>
  <si>
    <t>Affidamento diretto ex art. 36, comma 2, lett. a) del D. Lgs. 50/2016, alla Societ√† alla Societ√† BIO-TECHNE S.r.l. a socio unico  con sede a Milano (MI) in Via Ranzato,12   Cap 20128  P.IVA/C.F. 04869950156, per l'acquisto di materiale di consumo per il Laboratorio di Biologia Animale presso il Dipartimento di Scienze e Tecnologie, relativo al progetto Fondi Dottorati DST 10%-  Facchiano Serena, di cui √® titolare la Prof.ssa Marina Paolucci.</t>
  </si>
  <si>
    <t>04869950156-Bio-Techne Srl</t>
  </si>
  <si>
    <t>635.0</t>
  </si>
  <si>
    <t>inizio 09/12/2021</t>
  </si>
  <si>
    <t xml:space="preserve">Determina di affidamento diretto di Attrezzature Informatiche, tramite Accordo Quadro stipulato dallAteneo, ad esito di R.D.O. sul M.E.P.A. (Decreto Direttoriale del 25 febbraio 2021, n. 229), con il fornitore AM Informatica di Monaco Armando, per esigenze di ricerca e didattica presso il Dipartimento di Scienze e Tecnologie, ai sensi dell'art. 36, co 2, lett. a) del D.Lgs. 50/2016 </t>
  </si>
  <si>
    <t>1860.48</t>
  </si>
  <si>
    <t>inizio 09/12/2021, ultimazione 31/12/2021</t>
  </si>
  <si>
    <t>articolo scientifico - oneri obbligatori di pubblicazione con affidamento diretto ex art. 36, comma 2, lett. a), del D. Lgs. 50/2016, per un importo pari a euro 1.173,23 oltre oneri intra UE su richiesta del professore Carmine Guarino afferente al Dipartimento di Scienze e Tecnologie</t>
  </si>
  <si>
    <t>1172.23</t>
  </si>
  <si>
    <t xml:space="preserve">Affidamento diretto ex art. 36, comma 2, lett. a) del D. Lgs. 50/2016, alla Societ√† GILSON ITALIA S.r.l., con sede a Cinisello Balsamo (MI), Via G. Matteotti, 98  - Cap. 20092  P.IVA 02829240155, per l'acquisto di materiale di consumo per il laboratorio di Biologia Molecolare presso il Dipartimento di Scienze e Tecnologie.  </t>
  </si>
  <si>
    <t>02829240155-GILSON ITALIA SRL</t>
  </si>
  <si>
    <t>1578.0</t>
  </si>
  <si>
    <t>Servizio di pubblicit√† legale progettazione DEMM</t>
  </si>
  <si>
    <t>06374241211-Edizioni Savarese s.r.l.</t>
  </si>
  <si>
    <t>1985.34</t>
  </si>
  <si>
    <t>inizio 06/12/2021, ultimazione 11/12/2021</t>
  </si>
  <si>
    <t>Servizio di verifica ordinaria e straordinaria per impianti elevatori per il bienni 2022- 2023 e 2024 -2025</t>
  </si>
  <si>
    <t>03486670650-SIDELMED SPA</t>
  </si>
  <si>
    <t>8280.0</t>
  </si>
  <si>
    <t>inizio 06/12/2021, ultimazione 02/12/2024</t>
  </si>
  <si>
    <t>Affidamento diretto ex art. 36, comma 2, lett. a) del D. Lgs. 50/2016, alla Societ√† BIO-TECHNE S.r.l. a socio unico  con sede a Milano (MI) in Via Ranzato,12   Cap 20128  P.IVA/C.F.04869950156,per l'acquisto di materiale di consumo per il Laboratorio di Biologia Molecolare  presso il Dipartimento di Scienze e Tecnologie, relativo al progetto 40% Dottorandi PON Barisciano Borsa PON n¬∞3- Codice DOT13C4050, il cui responsabile scientifico √® la Prof.ssa Maria Moreno</t>
  </si>
  <si>
    <t>1679.0</t>
  </si>
  <si>
    <t>inizio 02/12/2021</t>
  </si>
  <si>
    <t>Affidamento diretto ex art. 36, comma 2, lett. a) del D. Lgs. 50/2016, alla Societ√† SCHARLAB ITALIA  S.r.l., con sede a Riozzo di Cerro al Lambro (MI), Via A. De Gasperi, 56  - Cap.20070   C.F./P.IVA 09802470154, per l'acquisto di materiale di consumo per il Laboratorio Sistemi Integrati di Biologia Animale e Vegetale per lAmbiente e la Salute presso il Dipartimento di Scienze e Tecnologie, che  graver√† sul progetto BASC, il cui responsabile scientifico √® il Prof. Carmine Guarino.</t>
  </si>
  <si>
    <t>09802470154-SCHARLAB ITALIA s.r.l.</t>
  </si>
  <si>
    <t>563.6</t>
  </si>
  <si>
    <t>Pubblicazione articolo su rivista scientifica _ prof Marco Consales</t>
  </si>
  <si>
    <t>318.0</t>
  </si>
  <si>
    <t>inizio 01/12/2021, ultimazione 30/12/2021</t>
  </si>
  <si>
    <t>Affidamento diretto intra UE Schede per acquisizione parametri proetto ATTICUS</t>
  </si>
  <si>
    <t>99999999999-PLUX Wireless BIOSIGNALS SA</t>
  </si>
  <si>
    <t>647.1</t>
  </si>
  <si>
    <t>inizio 01/12/2021</t>
  </si>
  <si>
    <t>Pubblicazione scientifica lab. Biologia Molecolare e Genomica_prof.ssa Lina Sabatino</t>
  </si>
  <si>
    <t>1983.77</t>
  </si>
  <si>
    <t>affidamento diretto per n 20 schede prototipali per sistema S-WEAR progetto ATTICUS_ prof. Luca De Vito</t>
  </si>
  <si>
    <t>01837040227-TRETEC SRL</t>
  </si>
  <si>
    <t>9950.0</t>
  </si>
  <si>
    <t>Affidamento diretto per materiale informatico budget40% Dottorando Gigante</t>
  </si>
  <si>
    <t>03878640238-VIRTUAL LOGIC SRL</t>
  </si>
  <si>
    <t>5938.36</t>
  </si>
  <si>
    <t>inizio 01/12/2021, ultimazione 19/01/2022</t>
  </si>
  <si>
    <t>5939.36</t>
  </si>
  <si>
    <t>Adesione Accordo Quadro Workstation prof. Visaggio</t>
  </si>
  <si>
    <t>11417.0</t>
  </si>
  <si>
    <t>Adesione accordo quadro monito 27" budget DOTT 40%</t>
  </si>
  <si>
    <t>203.0</t>
  </si>
  <si>
    <t xml:space="preserve">Adesione accordo quadro_stampante budget 40% Dottorato </t>
  </si>
  <si>
    <t>500.0</t>
  </si>
  <si>
    <t>Pubblicazione articolo su rivista scientifica prof. Paola Romano (DST)</t>
  </si>
  <si>
    <t>901.71</t>
  </si>
  <si>
    <t>Adesione Accordo Quadro_MAC BOOK PRO14 prof.ssa Carmen Del Vecchio_pgt Veritas</t>
  </si>
  <si>
    <t>2335.24</t>
  </si>
  <si>
    <t>Unit√† di interrogazione LUNA _ DIP ECCELLENZA_Prof. Consales</t>
  </si>
  <si>
    <t>03833540283-GHT PHOTONICS SRL</t>
  </si>
  <si>
    <t>29280.0</t>
  </si>
  <si>
    <t>n. 1 stampante con accessori adesione convenzione Consip Stampanti 18 - lotto 2 _prof. Roselli</t>
  </si>
  <si>
    <t>01788080156-Kyocera Document Solutions Italia s.p.a.</t>
  </si>
  <si>
    <t>300.77</t>
  </si>
  <si>
    <t>Adesione Accordo Quadro ipad prof. Vaccaro</t>
  </si>
  <si>
    <t>469.0</t>
  </si>
  <si>
    <t>Esperimento Completo legge MALUS _ Dipartimento di Eccellenza_ Prof. Feoli</t>
  </si>
  <si>
    <t xml:space="preserve">06384910151-ELITALIA SRL </t>
  </si>
  <si>
    <t>1623.6</t>
  </si>
  <si>
    <t>inizio 30/11/2021</t>
  </si>
  <si>
    <t>Banco di ottica geometrica e ondulatoria_Dipartimento Eccellenza_Prof. A.Feoli</t>
  </si>
  <si>
    <t>02706260169-Mad Apparecchiature Scientifiche Srl</t>
  </si>
  <si>
    <t>983.73</t>
  </si>
  <si>
    <t>Affidamento adesione AQ_Materiale Apple_DIPECCELLENZA_Carozza Cardone</t>
  </si>
  <si>
    <t>6106.96</t>
  </si>
  <si>
    <t>inizio 30/11/2021, ultimazione 31/12/2021</t>
  </si>
  <si>
    <t>6107.0</t>
  </si>
  <si>
    <t>Affidamento adesione AQ_DELL in one 27"prpcessore i7_Savino budget 40%Menanno</t>
  </si>
  <si>
    <t>1439.0</t>
  </si>
  <si>
    <t>Affidamento adesione AQ_DELL NOTEBOOK xps _MADDALONI</t>
  </si>
  <si>
    <t>1674.9</t>
  </si>
  <si>
    <t>Affidamento diretto, ex art. 36, comma 2, lett.a), del D. Lgs. 50/2016, per l'acquisto di DJI Mavic Mini Fly More Combo drone  per esigenze di ricerca  del Dipartimento di Scienze e Tecnologie Prof.ssa Senatore Maria Rosaria, mediante Ordine diretto di Acquisto  ODA sul Mercato Elettronico della Pubblica Amministrazione - MEPA.</t>
  </si>
  <si>
    <t>02028590699-Menna Studio Decumano Srl</t>
  </si>
  <si>
    <t>409.02</t>
  </si>
  <si>
    <t>inizio 29/11/2021, ultimazione 31/12/2021</t>
  </si>
  <si>
    <t>pubblicazione articolo scientifico "Entropy-Based Coherence Metric for Land Applications of GNSS-R" _ prof.ssa Galdi</t>
  </si>
  <si>
    <t>1400.0</t>
  </si>
  <si>
    <t>inizio 25/11/2021, ultimazione 30/12/2021</t>
  </si>
  <si>
    <t>¬ìServizio di manutenzione per due ascensori a servizio dell¬íedificio di nuova costruzione a Via dei Mulini. Affidamento ai sensi dell¬íarticolo 36, comma 2, lettera a),  del D.Lgs. 50/2016 e s.m.i. alla Societ√† per Azioni ¬ì Kone¬î, C. F. 05069070158   e P. IVA   12899760156.</t>
  </si>
  <si>
    <t>05069070158-KONE SPA</t>
  </si>
  <si>
    <t>1440.0</t>
  </si>
  <si>
    <t>inizio 23/11/2021</t>
  </si>
  <si>
    <t>1670.04</t>
  </si>
  <si>
    <t>inizio 23/11/2021, ultimazione 30/12/2021</t>
  </si>
  <si>
    <t xml:space="preserve">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Scienze e Tecnologie, ai sensi dell'art. 36, co 2, lett. a) del D.Lgs. 50/2016 </t>
  </si>
  <si>
    <t>3335.72</t>
  </si>
  <si>
    <t>inizio 19/11/2021, ultimazione 31/12/2021</t>
  </si>
  <si>
    <t>Servizio di analisi Termografica certificata per valutazioni di distacchi e patologie edilizie delle facciate di Palazzo San Domenico. Affidamento ai sensi dellarticolo 36, comma 2, lettera a), del D.Lgs. 50/2016 e s.m.i. alla Societ√† a responsabilit√† limitata Baxsa, C. F.  e P. IVA   01676830621.</t>
  </si>
  <si>
    <t>01676830621-BAXSA S.r.l.</t>
  </si>
  <si>
    <t>1600.0</t>
  </si>
  <si>
    <t>inizio 18/11/2021, ultimazione 26/11/2021</t>
  </si>
  <si>
    <t>5817.4</t>
  </si>
  <si>
    <t>inizio 17/11/2021</t>
  </si>
  <si>
    <t>Affidamento diretto ex art. 36, comma 2, lett. a) del D. Lgs. 50/2016, alla Societ√† MERCK LIFE SCIENCE S.r.l., con sede a Milano (MI), Via Monte Rosa, n.93 - Cap. 20149  P.IVA/C.F. 13209130155, dell'acquisto di materiale di consumo per il Laboratorio di Chimica Macromolecolare del Dipartimento di Scienze e Tecnologie,  che graver√† sul progetto FRA_2017Pappalardo, di cui √® responsabile scientifico la Prof.ssa Daniela Pappalardo.</t>
  </si>
  <si>
    <t>1307.0</t>
  </si>
  <si>
    <t>inizio 17/11/2021, ultimazione 28/12/2021</t>
  </si>
  <si>
    <t>Affidamento diretto ex art. 36, comma 2, lett. a) del D. Lgs. 50/2016, alla S.I.A.L. S.r.l.  con sede a ROMA (RM), Via Giovanni Devoti, 14 - Cap. 00167  P.IVA.00959981002/C.F. 01086690581, per l'acquisto di materiale di consumo per il Laboratorio di Biochimica presso il Dipartimento di Scienze e Tecnologie, che graver√† sui fondi FRA_2020LUPO , di cui √® titolare  il Prof. Angelo Lupo.</t>
  </si>
  <si>
    <t>01086690581-S.I.A.L. Srl</t>
  </si>
  <si>
    <t>470.0</t>
  </si>
  <si>
    <t>inizio 15/11/2021, ultimazione 02/12/2021</t>
  </si>
  <si>
    <t>Affidamento diretto ex art. 36, comma 2, lett. a) del D. Lgs. 50/2016, alla Societ√† AUROGENE S.r.l., con sede a Roma (RM), Via dei Lucani, n.51-53-55 - Cap. 00185  P.IVA 10926691006 , per l'acquisto di materiale di consumo per il Laboratorio di Biochimica presso il Dipartimento di Scienze e Tecnologie, che graver√† sui fondi LR5_LUPO-Legge Regionale Annualit√† 2007, di cui √® titolare  il Prof. Angelo Lupo.</t>
  </si>
  <si>
    <t>1894.67</t>
  </si>
  <si>
    <t>inizio 12/11/2021, ultimazione 28/12/2021</t>
  </si>
  <si>
    <t>Affidamento diretto ex art. 36, comma 2, lett. a) del D. Lgs. 50/2016, alla Societ√† REACT4LIFE S.r.l., con sede a Genova (GE), Via D. Fiasella, 1 - Cap. 16120  P.IVA 02436280990  dell'acquisto di attrezzature tecnico-scientifiche per il Laboratorio di Biochimica presso il Dipartimento di Scienze e Tecnologie, che graver√† sui fondi LR5_LUPO-Legge Regionale Annualit√† 2007, di cui √® titolare  il Prof. Angelo Lupo.</t>
  </si>
  <si>
    <t>02436280990-REACT4LIFE SRL</t>
  </si>
  <si>
    <t>2320.4</t>
  </si>
  <si>
    <t>inizio 12/11/2021, ultimazione 02/12/2021</t>
  </si>
  <si>
    <t>Affidamento diretto ex art. 36, comma 2, lett. a) del D. Lgs. 50/2016, alla Societ√† Rubbettino Editore srl ,  Viale Rosario Rubbettino n. 10 cap. 88049 Saveria Mannelli (CZ)  per la Pubblicazione del volume  dal titolo  Leconomia  civile  integrale  e  la primavera  delle  comunit√†  locali.  Dallhomo  economicus  allhomo  in civitatem a cura di Giuseppe Marotta e Orazio Francesco Piazza"</t>
  </si>
  <si>
    <t>01933480798-RUBBETTINO Editore SRL</t>
  </si>
  <si>
    <t>inizio 11/11/2021, ultimazione 30/11/2021</t>
  </si>
  <si>
    <t>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Demm, ai sensi dell'art. 36, co 2, lett. a) del D.Lgs. 50/2016.</t>
  </si>
  <si>
    <t>3920.19</t>
  </si>
  <si>
    <t>inizio 11/11/2021, ultimazione 31/12/2021</t>
  </si>
  <si>
    <t>1228.54</t>
  </si>
  <si>
    <t>Affidamento adesione AQ_DELL xps ram32gb 2tb_Castaldi</t>
  </si>
  <si>
    <t>2169.0</t>
  </si>
  <si>
    <t>inizio 10/11/2021, ultimazione 31/12/2021</t>
  </si>
  <si>
    <t>Software per laboratori di Sistemi Eelettrici</t>
  </si>
  <si>
    <t xml:space="preserve">02352960286-ELECTRO GRAPHICS SRL </t>
  </si>
  <si>
    <t>6460.0</t>
  </si>
  <si>
    <t>inizio 08/11/2021, ultimazione 30/11/2021</t>
  </si>
  <si>
    <t>Affidamento diretto per attrezzatura per assemblaggio di un coordinamento elettrico_lab impianti idraulici</t>
  </si>
  <si>
    <t>BDTGNC95C46Z129N-PIXELCOMPUTER</t>
  </si>
  <si>
    <t>519.7</t>
  </si>
  <si>
    <t>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Demm, ai sensi dell'art. 36, co 2, lett. a) del D.Lgs. 50/2016- Proff. Cresta e Fiorenza</t>
  </si>
  <si>
    <t>2845.0</t>
  </si>
  <si>
    <t>inizio 03/11/2021, ultimazione 30/11/2021</t>
  </si>
  <si>
    <t>Acquisitore datalogger dDas PER_Dipartimento di Eccellenza_ PROF. Di Sarno</t>
  </si>
  <si>
    <t>00481810638-BOVIAR S.R.L.</t>
  </si>
  <si>
    <t>9585.0</t>
  </si>
  <si>
    <t>inizio 31/10/2021, ultimazione 30/11/2021</t>
  </si>
  <si>
    <t>Pubblicazione articolo su rivista scientifica Vaccines _ Prof. Pasquale Vito</t>
  </si>
  <si>
    <t>inizio 31/10/2021, ultimazione 31/12/2021</t>
  </si>
  <si>
    <t>Hardware for new Ferrotec EV-M6 multi pocket EB-Gun - Filament heating transformer FPS-3 _Prof. Pierro laboratorio MUSA</t>
  </si>
  <si>
    <t>99999999999-MACROTECH</t>
  </si>
  <si>
    <t>2581.0</t>
  </si>
  <si>
    <t>inizio 30/10/2021, ultimazione 30/11/2021</t>
  </si>
  <si>
    <t>Pubblicazione articolo "Anti-biofilm and Reaof Ozonated Oil in Lipsome"- Prof. Vito</t>
  </si>
  <si>
    <t>2100.0</t>
  </si>
  <si>
    <t>inizio 29/10/2021, ultimazione 30/12/2021</t>
  </si>
  <si>
    <t>Corso di Formazione Nuova Passweb</t>
  </si>
  <si>
    <t>01784630814-FORMEL</t>
  </si>
  <si>
    <t>342.0</t>
  </si>
  <si>
    <t>inizio 29/10/2021, ultimazione 29/10/2021</t>
  </si>
  <si>
    <t>Affidamento diretto ex art. 36, comma 2, lett. a) del D. Lgs. 50/2016, per un importo pari ad Euro 527,00 oltre IVA al 22% per lacquisizione di  Tablet per lettura e scrittura manuale reMarkable2  e relativa penna per esigenze di ricerca del Prof. Guido Tortorella del Dipartimento Demm, mediante trattativa diretta n. 1844209 sulla Piattaforma del Mercato Elettronico della Pubblica Amministrazione  - MEPA.</t>
  </si>
  <si>
    <t>12329431006-Global Express srl</t>
  </si>
  <si>
    <t>527.0</t>
  </si>
  <si>
    <t>inizio 28/10/2021, ultimazione 31/12/2021</t>
  </si>
  <si>
    <t>Affidamento diretto ex art. 36, comma 2, lett. a) del D. Lgs. 50/2016, alla Societ√† BIO-RAD LABORATORIES S.r.l., con sede a Segrate (MI), Via Cellini, n.18/A  - Cap. 20090  P.IVA 00801720152,, per l'acquisto di materiale di consumo per i Laboratori del  Dipartimento di Scienze e Tecnologie, la cui spesa graver√† sul progetto Fondo 10% Dottorato Viviana De Luca , di cui √® responsabile scientifico il Direttore didattico la Prof.ssa Maria Moreno</t>
  </si>
  <si>
    <t>00801720152-BIO-RAD LABORATORIES SRL</t>
  </si>
  <si>
    <t>237.9</t>
  </si>
  <si>
    <t>inizio 28/10/2021</t>
  </si>
  <si>
    <t>Affidamento diretto, ex art. 36, comma 2, lett.a), del D. Lgs. 50/2016,  per servizio di manutenzione delle macchine del Ghiaccio  Scotsman e Fiocchetti, richiesta dalla Prof.ssa Silvestri Elena, in dotazione al Dipartimento di Scienze e Tecnologie, alla Societ√† Fratelli Aversano in Via Avellino (parco Collarile) - 82100 Benevento</t>
  </si>
  <si>
    <t>00599060621-F.lli Aversano  TRE A</t>
  </si>
  <si>
    <t>1120.0</t>
  </si>
  <si>
    <t>inizio 28/10/2021, ultimazione 30/11/2021</t>
  </si>
  <si>
    <t>Affidamento diretto ex art. 36, comma 2, lett. a) del D. Lgs. 50/2016, alla Societ√† LIFE TECHNOLOGIES ITALIA, Fil. della Life Technologies Europe B.V., con sede in Monza (MB), Via Tiepolo, n. 18 - Cap. 20900  P.IVA/C.F. 12792100153, per l'acquisto di materiale di consumo per i Laboratori del  Dipartimento di Scienze e Tecnologie, la cui spesa graver√† sul progetto Fondo 10% Dottorato Viviana De Luca , di cui √® responsabile scientifico il Direttore didattico la Prof.ssa Maria Moreno.</t>
  </si>
  <si>
    <t>12792100153-LIFE TECHNOLOGIES ITALIA</t>
  </si>
  <si>
    <t>527.94</t>
  </si>
  <si>
    <t>inizio 28/10/2021, ultimazione 25/11/2021</t>
  </si>
  <si>
    <t>Affidamento diretto ex art. 36, comma 2, lett. a) del D. Lgs. 50/2016, alla Societ√† Colitti Armando Snc ,  Via Giuseppe Libetta n.  15 A cap. 10154 ROMA  per la Pubblicazione del volume  dal titolo  Italia-Francia allers-retours: influenze, adattamenti, porosit√† della Prof.ssa Cristina Ciancio</t>
  </si>
  <si>
    <t xml:space="preserve">01743340588- Colitti Armando di Marc Colitti c. </t>
  </si>
  <si>
    <t xml:space="preserve">Affidamento diretto ex art. 36, comma 2, lett. a) del D. Lgs. 50/2016, alla Societ√† MERCK LIFE SCIENCE S.r.l., con sede a Milano (MI), Via Monte Rosa, n.93 - Cap. 20149  P.IVA/C.F. 13209130155, per l'acquisto di materiale di consumo per i Laboratori del  Dipartimento di Scienze e Tecnologie, relativo al progetto Fondo 10% Dottorato Viviana De Luca , di cui √® responsabile scientifico il Direttore didattico la Prof.ssa Maria Moreno.  </t>
  </si>
  <si>
    <t>238.2</t>
  </si>
  <si>
    <t>765.38</t>
  </si>
  <si>
    <t>inizio 28/10/2021, ultimazione 16/11/2021</t>
  </si>
  <si>
    <t>Affidamento diretto ex art. 36, comma 2, lett. a) del D. Lgs. 50/2016, alla Societ√† alla Societ√† PRODOTTI GIANNI S.r.l., con sede a Milano (MI), Via M.F.Quintiliano,30 - Cap. 20138  C.F./P.IVA 08860270969, per l'acquisto di materiale di consumo per il Laboratorio di Fisiologia, Endocrinologia e Metabolismo presso il Dipartimento di Scienze e Tecnologie, relativo al progetto Prin 2017 CIOFFI , di cui √® responsabile scientifico la Prof.ssa Federica Cioffi.</t>
  </si>
  <si>
    <t>4315.1</t>
  </si>
  <si>
    <t>inizio 28/10/2021, ultimazione 29/11/2021</t>
  </si>
  <si>
    <t>Affidamento diretto ex art. 36, comma 2, lett. a) del D. Lgs. 50/2016, alla Societ√† MERCK LIFE SCIENCE S.r.l., con sede a Milano (MI), Via Monte Rosa, n.93 - Cap. 20149  P.IVA/C.F. 13209130155, per l'acquisto di materiale di consumo per i Laboratori Didattici del Dipartimento di Scienze e Tecnologie, relativo al progetto DST Funzionamento Laboratori , di cui √® responsabile scientifico il Direttore didattico la Prof.ssa Maria Moreno.</t>
  </si>
  <si>
    <t>4026.6</t>
  </si>
  <si>
    <t>inizio 28/10/2021, ultimazione 18/11/2021</t>
  </si>
  <si>
    <t>Affidamento diretto ex art. 36, comma 2, lett. a) del D. Lgs. 50/2016, alla Societ√† Societ√† MICROTECH S.r.l., con sede a Napoli (NA), Viale Augusto,162 - Cap. 80125  P.IVA /C.F. 05791560633,  per l'acquisto di materiale di consumo per il Laboratorio di Biologia Applicata presso il Dipartimento di Scienze e Tecnologie, relativo al progetto Goodwater , di cui √® responsabile scientifico la Prof.ssa Concetta Ambrosino</t>
  </si>
  <si>
    <t>05791560633-MICROTECH S.R.L.</t>
  </si>
  <si>
    <t>1253.4</t>
  </si>
  <si>
    <t>inizio 28/10/2021, ultimazione 01/12/2021</t>
  </si>
  <si>
    <t>Affidamento diretto di Materiale Informatico Vario, tramite Accordo Quadro stipulato dallAteneo, ad esito di R.D.O. sul M.E.P.A. (Decreto Direttoriale del 02 marzo 2021, n. 239), con il fornitore Mods Art S.r.l.,, per esigenze di ricerca e didattica del Dipartimento di Scienze e Tecnologie, ai sensi dell'art. 36, co 2, lett. a) del D.Lgs. 50/2016</t>
  </si>
  <si>
    <t>1397.5</t>
  </si>
  <si>
    <t>inizio 28/10/2021, ultimazione 27/11/2021</t>
  </si>
  <si>
    <t xml:space="preserve">Affidamento diretto ex art. 36, comma 2, lett. a) del D. Lgs. 50/2016, alla Societ√† MERCK LIFE SCIENCE S.r.l., con sede a Milano (MI), Via Monte Rosa, n.93 - Cap. 20149  P.IVA/C.F. 13209130155, del servizio di riparazione Sistema MilliQ per i laboratori didattici del  Dipartimento di Scienze e Tecnologie </t>
  </si>
  <si>
    <t>1227.0</t>
  </si>
  <si>
    <t>inizio 28/10/2021, ultimazione 20/12/2021</t>
  </si>
  <si>
    <t>Affidamento diretto ex art. 36, comma 2, lett. a) del D. Lgs. 50/2016, alla Societ√† MERCK LIFE SCIENCE S.r.l., con sede a Milano (MI), Via Monte Rosa, n.93 - Cap. 20149  P.IVA/C.F. 13209130155, per l'acquisto di materiale di consumo per il Laboratorio di Biochimica presso il Dipartimento di Scienze e Tecnologie, che graver√† sui fondi FRA_2020LUPO , di cui √® titolare  il Prof. Angelo Lupo.</t>
  </si>
  <si>
    <t>264.68</t>
  </si>
  <si>
    <t>inizio 28/10/2021, ultimazione 22/11/2021</t>
  </si>
  <si>
    <t>RCA e garanzie accessorie autovetture di ateneo periodo 27 ottobre 2021 - 27 ottobre 2022</t>
  </si>
  <si>
    <t>03298950969-Aviva Italia S.p.A</t>
  </si>
  <si>
    <t>1455.0</t>
  </si>
  <si>
    <t>inizio 27/10/2021, ultimazione 27/10/2022</t>
  </si>
  <si>
    <t>Materiale grafico, schermature segnaletica su supporti rigidi, brochure per il contenimento della pandemia da Covid 19 per le attivit√† didattiche e per i concorsi da svolgersi in Ateneo</t>
  </si>
  <si>
    <t>01239750621-F.lli Battaglino snc di Battaglino G. &amp; C.</t>
  </si>
  <si>
    <t>28000.0</t>
  </si>
  <si>
    <t>inizio 22/10/2021, ultimazione 02/11/2021</t>
  </si>
  <si>
    <t>Affidamento dei "Allestimento Pala Tedeschi per concorso con 350 candidati" - Affidamento ai sensi dellarticolo 36, comma 2, lettera a), del D.Lgs. 50/2016</t>
  </si>
  <si>
    <t>01316250628-Sound Vibration di Del Vecchio Giuseppe Mario &amp; C sas</t>
  </si>
  <si>
    <t>8200.0</t>
  </si>
  <si>
    <t>inizio 22/10/2021, ultimazione 28/10/2021</t>
  </si>
  <si>
    <t>Interferometro di Mach-Zehnder_Dipartimento Eccellenza_Prof. A.Feoli</t>
  </si>
  <si>
    <t>02285051203-3B SCIENTIFIC 02285051203</t>
  </si>
  <si>
    <t>2955.96</t>
  </si>
  <si>
    <t>inizio 20/10/2021, ultimazione 16/12/2021</t>
  </si>
  <si>
    <t>2956.0</t>
  </si>
  <si>
    <t>Affidamento adesione AQ_Powerdge DELL R6515_DAPONTE</t>
  </si>
  <si>
    <t>2549.0</t>
  </si>
  <si>
    <t>inizio 14/10/2021, ultimazione 31/12/2021</t>
  </si>
  <si>
    <t>Affidamento diretto Impact Hammer Model 086C03 _ Prof. Maddaloni</t>
  </si>
  <si>
    <t>08-AFFIDAMENTO IN ECONOMIA - COTTIMO FIDUCIARIO</t>
  </si>
  <si>
    <t>12291080153-SIEMENS INDUSTRY SOFTWARE</t>
  </si>
  <si>
    <t>1041.0</t>
  </si>
  <si>
    <t>inizio 14/10/2021, ultimazione 30/11/2021</t>
  </si>
  <si>
    <t>Servizi realizzati nell'ambito del progetto Salute CUP F84I19000760001_Varricchio</t>
  </si>
  <si>
    <t>11155151-COSVITEC</t>
  </si>
  <si>
    <t>5081.0</t>
  </si>
  <si>
    <t>inizio 14/10/2021</t>
  </si>
  <si>
    <t>Affidamento adesione AQ_mac book pro 13_low noise_Glielmo_Visone</t>
  </si>
  <si>
    <t>1765.0</t>
  </si>
  <si>
    <t>Indagine Termografica e relazione specialistica  su Villa Perrotta in Benevento- Arch- Miraglia</t>
  </si>
  <si>
    <t>MRGFNC72P21D708K-Architetto Francesco Miraglia</t>
  </si>
  <si>
    <t>1500.0</t>
  </si>
  <si>
    <t>inizio 13/10/2021, ultimazione 27/10/2021</t>
  </si>
  <si>
    <t>Mini proiettoe HD 108p 800ANSI lumen Prof Zimeo</t>
  </si>
  <si>
    <t>03340710270-ADpartners Srl</t>
  </si>
  <si>
    <t>625.6</t>
  </si>
  <si>
    <t>inizio 12/10/2021, ultimazione 30/11/2021</t>
  </si>
  <si>
    <t>verifica della vulnerabilit√† sismica dell'edificio denominato ex Ipai, sito in Benevento, in Via San Pasquale.</t>
  </si>
  <si>
    <t>02596380614-C.S.I. srl</t>
  </si>
  <si>
    <t>13900.0</t>
  </si>
  <si>
    <t>inizio 11/10/2021, ultimazione 03/11/2021</t>
  </si>
  <si>
    <t>14456.0</t>
  </si>
  <si>
    <t>Stampa Rendicontazione sociale Universit√† degli studi deel sannio anno 2021</t>
  </si>
  <si>
    <t>PLRRFL72P07A509G-Gepal Pubblicit√† di Palermo Raffaele</t>
  </si>
  <si>
    <t>1950.0</t>
  </si>
  <si>
    <t>inizio 11/10/2021, ultimazione 04/11/2021</t>
  </si>
  <si>
    <t>Affidamento diretto ex art. 36, comma 2, lett. a) del D. Lgs. 50/2016, per l'acquisizione di materiale informatico di laboratorio per esigenze del prof. Zimeo Eugenio del  Dipartimento di Ingegneria, mediante ordine diretto Mepa  sulla Piattaforma del Mercato Elettronico della Pubblica Amministrazione  - MEPA.</t>
  </si>
  <si>
    <t>01478090622-Intelligentia s.r.l.</t>
  </si>
  <si>
    <t>2648.0</t>
  </si>
  <si>
    <t>inizio 08/10/2021, ultimazione 31/12/2021</t>
  </si>
  <si>
    <t>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Demm, ai sensi dell'art. 36, co 2, lett. a) del D.Lgs. 50/2016 , Proff. Amatucci e Monti</t>
  </si>
  <si>
    <t>2269.54</t>
  </si>
  <si>
    <t>inizio 07/10/2021, ultimazione 31/12/2021</t>
  </si>
  <si>
    <t>Progettazione Grafica e impaginazione report "rendicontazione sociale integrata 2021</t>
  </si>
  <si>
    <t>SMNFLC63M22A783A-TODOCOM di Felice Simeone</t>
  </si>
  <si>
    <t>inizio 07/10/2021, ultimazione 12/11/2021</t>
  </si>
  <si>
    <t>Fornitura di polo personalizzate e toghe e tocchi per eventi dell'Universit√† degli Studi del Sanni</t>
  </si>
  <si>
    <t>04263991210-MARIA DE MEDICI S.R.L. INDUSTRIA CONFEZIONI</t>
  </si>
  <si>
    <t>4450.0</t>
  </si>
  <si>
    <t>inizio 06/10/2021, ultimazione 03/11/2021</t>
  </si>
  <si>
    <t xml:space="preserve">Determina di affidamento diretto di Materiale di cancelleria, tramite Accordo Quadro stipulato dallAteneo, ad esito di R.D.O. sul M.E.P.A. (Decreto Direttoriale del 26 ottobre 2020, prot. n. 1685), con il fornitore Errebian Srl , per esigenze di  didattica del Dipartimento di Ingegneria, ai sensi dell'art. 36, co 2, lett. a) del D.Lgs. 50/2016 </t>
  </si>
  <si>
    <t>1306.67</t>
  </si>
  <si>
    <t>inizio 04/10/2021, ultimazione 30/11/2021</t>
  </si>
  <si>
    <t xml:space="preserve">Determina di affidamento diretto di Materiale di carta A4 e A3, tramite Accordo Quadro stipulato dallAteneo, ad esito di R.D.O. sul M.E.P.A. (Decreto Direttoriale del 26 ottobre 2020, prot. n. 1685), con il fornitore Alex Office &amp; Business Srl, per esigenze di  didattica del Dipartimento di Ingegneria, ai sensi dell'art. 36, co 2, lett. a) del D.Lgs. 50/2016 </t>
  </si>
  <si>
    <t>1729.77</t>
  </si>
  <si>
    <t>inizio 04/10/2021, ultimazione 31/12/2021</t>
  </si>
  <si>
    <t>Pubblicazione su rivista scientifica open access articolo polymer-1351867 _prof. Ciro Del Vecchio</t>
  </si>
  <si>
    <t>1442.74</t>
  </si>
  <si>
    <t>inizio 01/10/2021, ultimazione 15/10/2021</t>
  </si>
  <si>
    <t>Fornitura piattaforma Matlab per il periodo compreso tra il 01 ottobre 2021 e il 30 settembre 2022</t>
  </si>
  <si>
    <t>08333270018-The Mathworks S.r.l.</t>
  </si>
  <si>
    <t>24012.0</t>
  </si>
  <si>
    <t>inizio 01/10/2021, ultimazione 30/09/2022</t>
  </si>
  <si>
    <t>Affidamento diretto ex art. 36, comma 2, lett. a) del D. Lgs. 50/2016, alla Societ√† MERCK LIFE SCIENCE S.r.l., con sede a Milano (MI), Via Monte Rosa, n.93 - Cap. 20149  P.IVA/C.F. 13209130155, per l'acquisto di materiale di consumo per il Laboratorio di Fisiologia/Genetica presso il Dipartimento di Scienze e Tecnologie, relativo al progetto Inbiomed  Prodotti Innovativi ad alto contenuto biotecnologico per il settore medicale, di cui √® responsabile scientifico il Prof. Pasquale Vito.</t>
  </si>
  <si>
    <t>1150.35</t>
  </si>
  <si>
    <t>inizio 30/09/2021</t>
  </si>
  <si>
    <t>Affidamento diretto ex art. 36, comma 2, lett. a) del D. Lgs. 50/2016, alla Societ√† CONSUL S.r.l., con sede a Napoli (Na), Via Posillipo, n.316 - Cap. 80123  P.IVA 06768650639,  l'acquisto di materiale di consumo per il Laboratorio di Biologia Animale, Genetica e Risorse Alimentari presso il Dipartimento di Scienze e Tecnologie, relativo al progetto Fondo Dottorati DST- Budget 10% Di Meo Maria Chiara, di cui √® responsabile scientifico il Prof. Ettore Varricchio</t>
  </si>
  <si>
    <t>2756.0</t>
  </si>
  <si>
    <t>inizio 30/09/2021, ultimazione 23/12/2021</t>
  </si>
  <si>
    <t>Affidamento del servizio di organizzazione e gestione della prova scritta, a contenuto teorico-pratico, per N. 1 posto di Categoria D, Posizione Economica D1, Area Amministrativa Gestionale</t>
  </si>
  <si>
    <t xml:space="preserve">01075390763-IBS Informatica Basilicata Sistemi s.r.l. </t>
  </si>
  <si>
    <t>3000.0</t>
  </si>
  <si>
    <t>inizio 30/09/2021, ultimazione 08/11/2021</t>
  </si>
  <si>
    <t xml:space="preserve">Affidamento diretto ex art. 36, comma 2, lett. a) del D. Lgs. 50/2016, alla Societ√† BIOMEETS CONSULTING, con sede in Carrer d'laba, 61  08005-  BARCELONA (SPAGNA)  per l'acquisto di materiale di consumo per il Lab-50 e il Laboratorio di Biologia Animale e Vegetale per lAmbiente e la Salute presso il Dipartimento di Scienze e Tecnologie </t>
  </si>
  <si>
    <t xml:space="preserve">ESY4786252N-BIOMEETS CONSULTING -VALENTINO RUGGIERI </t>
  </si>
  <si>
    <t>20618.0</t>
  </si>
  <si>
    <t>inizio 30/09/2021, ultimazione 10/11/2021</t>
  </si>
  <si>
    <t>18500.0</t>
  </si>
  <si>
    <t>Affidamento diretto ex art. 36, comma 2, lett. a) del D. Lgs. 50/2016, alla Societ√† LIFE TECHNOLOGIES ITALIA, Fil. della Life Technologies Europe B.V., con sede in Monza (MB), Via Tiepolo, n. 18 - Cap. 20900  P.IVA/C.F. 12792100153, per un importo pari ad uro 215,12 oltre IVA, per lacquisto di materiale di consumo per il Laboratorio di Biochimica presso il Dipartimento di Scienze e Tecnologie, che graver√† sui fondi FRA_2015 e FRA_2017AlbertoZullo , di cui √® titolare  il Prof. Alberto Zullo</t>
  </si>
  <si>
    <t>215.12</t>
  </si>
  <si>
    <t>Fornitura di Workstation, Personal Computer, Notebook, Tablet e accessori nell'ambito del Progetto Dipartimento di Eccellenza</t>
  </si>
  <si>
    <t xml:space="preserve">04624690634-I.T.M. Infomatica Telematica Meridonale SRL,07428820638-pointel communication spa,05685740721-C &amp; C Consulting srl,CRLGNN74D02A783A-CERINAT 2000 DI GIANNI CAIRELLA,08573761007-Finbuc s.r.l.,05083420637-Focelda s.p.a.,07268620726-Adesa s.r.l.,DMRGLC74H23D862P-Digi Tech di DAmore Gianluca,02991230588-G.D. Grafidata s.r.l.,05984211218-R-Store s.p.a. </t>
  </si>
  <si>
    <t xml:space="preserve">05984211218-R-Store s.p.a. </t>
  </si>
  <si>
    <t>135037.0</t>
  </si>
  <si>
    <t>inizio 29/09/2021</t>
  </si>
  <si>
    <t>2754.59</t>
  </si>
  <si>
    <t>servizio di ristorazione per eventi dell'Universit√† degli Studi del Sannio</t>
  </si>
  <si>
    <t>DNFLCU86B23F839V-NOLOEVENTI DI LUCA D'ONOFRIO</t>
  </si>
  <si>
    <t>6636.0</t>
  </si>
  <si>
    <t>inizio 29/09/2021, ultimazione 27/10/2021</t>
  </si>
  <si>
    <t>Cinque giornate formative destinate al personale che si occupa della piattorma di gestione delle procedure concorsuali, organizate da IBS Informatica Basilicata Sistemi Srl</t>
  </si>
  <si>
    <t>1300.0</t>
  </si>
  <si>
    <t>inizio 27/09/2021, ultimazione 27/09/2021</t>
  </si>
  <si>
    <t>Affidamento diretto ex art. 36, comma 2, lett. a) del D. Lgs. 50/2016, alla Societ√† EUROCLONE S.p.A. a socio unico, con sede a Milano (MI), Via Spezia,1 - Cap. 20142  P.IVA/C.F. 08126390155, per l'acquisto di materiale di consumo per il Laboratorio di Fisiologia/Genetica presso il Dipartimento di Scienze e Tecnologie, relativo al progetto Inbiomed  Prodotti Innovativi ad alto contenuto biotecnologico per il settore medicale, di cui √® responsabile scientifico il Prof. Pasquale Vito.</t>
  </si>
  <si>
    <t>1662.0</t>
  </si>
  <si>
    <t>inizio 24/09/2021, ultimazione 26/10/2021</t>
  </si>
  <si>
    <t>Affidamento diretto ex art. 36, comma 2, lett. a) del D. Lgs. 50/2016, alla Societ√† M&amp;M BIOTECH S.c.a.r.l. con sede a Napoli (NA), Via de Bonis G.Generale, n.81 - Cap. 80123 - P.IVA/C.F. 05632311212, dell'acquisto di materiale di consumo per il laboratorio di Farmacologia-Tossicologia n.64 presso il Dipartimento di Scienze e Tecnologie, relativo al progetto NEON Nanofotonica per nuovi approcci diagnostici e terapeutici in Oncologia e Neurologia, il cui responsabile scientifico √® la Prof.ssa Lorella Maria Teresa Canzoniero</t>
  </si>
  <si>
    <t>1653.85</t>
  </si>
  <si>
    <t>inizio 24/09/2021, ultimazione 22/11/2021</t>
  </si>
  <si>
    <t>Fornitura di "Servizi di comunicazione integrata comprensiva di campagna per la diffusione di corrette pratiche anti covid-19" - Affidamento ai sensi dellarticolo 36, comma 2, lettera a), del D.Lgs. 50/2016 e s.m.i. a</t>
  </si>
  <si>
    <t>05553730655-INCOERENZE SRL</t>
  </si>
  <si>
    <t>30675.0</t>
  </si>
  <si>
    <t>inizio 24/09/2021, ultimazione 23/09/2022</t>
  </si>
  <si>
    <t>14925.0</t>
  </si>
  <si>
    <t>Fornitura di servizi per "ORGANIZZAZIONE CAREER DAY 2021" - Affidamento ai sensi dellarticolo 36, comma 2, lettera a), del D.Lgs. 50/2016 e s.m.i. a</t>
  </si>
  <si>
    <t>11191000964-Hubilia</t>
  </si>
  <si>
    <t>7200.0</t>
  </si>
  <si>
    <t>inizio 23/09/2021, ultimazione 28/09/2021</t>
  </si>
  <si>
    <t>Affidamento diretto ex art. 36, comma 2, lett. a) del D. Lgs. 50/2016, alla Societ√† PRODOTTI GIANNI S.r.l., con sede a Milano (MI), Via M.F.Quintiliano,30 - Cap. 20138  C.F./P.IVA 08860270969, dell'acquisto di materiale di consumo per il laboratorio di  Fisiologia del  Dipartimento di Scienze e Tecnologie, che graver√† sul fondo relativo al progetto 40% Fondi Dottorato Industriale, Dott.ssa Teresa Peluso, XXXIV Ciclo, di cui √® responsabile scientifico la Prof.ssa Elena Silvestri.</t>
  </si>
  <si>
    <t>1324.75</t>
  </si>
  <si>
    <t>inizio 22/09/2021, ultimazione 20/10/2021</t>
  </si>
  <si>
    <t>Lavaggio toghe cappelli e mantelline dei docenti Unisannio.</t>
  </si>
  <si>
    <t>02393380643-Lavanderia "La Modernissima di Morcone Mario s.n.c."</t>
  </si>
  <si>
    <t>1117.5</t>
  </si>
  <si>
    <t>inizio 22/09/2021, ultimazione 26/10/2021</t>
  </si>
  <si>
    <t>Fornitura di n. 67.760 Buoni Pasto elettronici per un periodo di 24 mesi per le esigenze dell'Universit√† degli Studi del Sannio, mediante adesione Convenzione Consip</t>
  </si>
  <si>
    <t xml:space="preserve">01014660417-Edenred Italia s.r.l. </t>
  </si>
  <si>
    <t>380133.6</t>
  </si>
  <si>
    <t>inizio 22/09/2021</t>
  </si>
  <si>
    <t>Affidamento diretto ex art. 36, comma 2, lett. a) del D. Lgs. 50/2016, alla Societ√† alla Societ√† MERCK LIFE SCIENCE S.r.l., con sede a Milano (MI), Via Monte Rosa, n.93 - Cap. 20149  P.IVA/C.F. 13209130155, dell'acquisto di materiale di consumo per il Laboratorio di Biologia Applicata presso il Dipartimento di Scienze e Tecnologie, che graver√† sul fondo relativo al progetto denominato LR5_Ambrosino-Legge Regionale 5  Annualit√† 2008 , di cui √® titolare  la Prof.ssa Concetta Ambrosino.</t>
  </si>
  <si>
    <t>1961.0</t>
  </si>
  <si>
    <t>inizio 22/09/2021, ultimazione 04/11/2021</t>
  </si>
  <si>
    <t xml:space="preserve">Affidamento diretto ex art. 36, comma 2, lett. a) del D. Lgs. 50/2016, alla Societ√† S.I.A.L. S.r.l. con sede a ROMA (RM), Via Giovanni Devoti, 14 - Cap. 00167  P.IVA.00959981002 C.F. 01086690581, dell'acquisto di materiale di consumo per il Laboratorio di Biologia Applicata presso il Dipartimento di Scienze e Tecnologie,che graver√† sul fondo relativo al progetto denominato Endocannabinoid system role in control of spermatogenesis (Prot. 20175MT5EM)- Linea Sud - PRIN 2017, di cui √® titolare  la Prof.ssa Concetta Ambrosino.  </t>
  </si>
  <si>
    <t>240.0</t>
  </si>
  <si>
    <t>inizio 22/09/2021, ultimazione 18/11/2021</t>
  </si>
  <si>
    <t>344.4</t>
  </si>
  <si>
    <t>inizio 22/09/2021, ultimazione 19/10/2021</t>
  </si>
  <si>
    <t>Affidamento diretto ex art. 36, comma 2, lett. a) del D. Lgs. 50/2016, alla Societ√† GENOMIX 4LIFE S.r.l. con sede a Baronissi (SA) in Via S. Allende   Cap 84081 P.IVA/C.F. 05175300655, dellacquisto di materiale di consumo per il Laboratorio di Biologia Applicata presso il Dipartimento di Scienze e Tecnologie, che graver√† sul fondo relativo al progetto denominato Endocannabinoid system role in control of spermatogenesis (Prot. 20175MT5EM)- Linea Sud - PRIN 2017, di cui √® titolare  la Prof.ssa Concetta Ambrosino.</t>
  </si>
  <si>
    <t>05175300655-Genomix4Life S.r.l.</t>
  </si>
  <si>
    <t>16051.2</t>
  </si>
  <si>
    <t xml:space="preserve">Affidamento diretto ex art. 36, comma 2, lett. a) del D. Lgs. 50/2016, alla Societ√† CONSUL S.r.l., con sede a Napoli (Na), Via Posillipo, n.316 - Cap. 80123  P.IVA 06768650639, dellacquisto di materiale di consumo per i laboratori didattici del  Dipartimento di Scienze e Tecnologie. </t>
  </si>
  <si>
    <t>4860.0</t>
  </si>
  <si>
    <t xml:space="preserve">Affidamento diretto ex art. 36, comma 2, lett. a) del D. Lgs. 50/2016, alla Societ√†  EXACTA+OPTECH LABCENTER S.p.A., con sede in San Prospero (MO), Via Bosco, n. 21 - Cap. 41030  P.IVA/C.F. 01022690364, dell'acquisto di materiale di consumo per il Laboratorio di Ecologia presso il Dipartimento di Scienze e Tecnologie, che graver√† sul fondo del progetto FRA_2017_DeNicola, di cui √® titolare  la Prof.ssa Flavia De Nicola </t>
  </si>
  <si>
    <t>161.0</t>
  </si>
  <si>
    <t>inizio 22/09/2021, ultimazione 25/11/2021</t>
  </si>
  <si>
    <t xml:space="preserve">Affidamento diretto ex art. 36, comma 2, lett. a) del D. Lgs. 50/2016, alla Societ√† VINCI-BIOCHEM S.r.l. con sede a Vinci (FI), Via Ponte di Bagnolo,10 - Cap. 50059  P.IVA/C.F.05706610481, dell'acquisto di materiale di consumo per il Laboratorio di Biologia Applicata presso il Dipartimento di Scienze e Tecnologie, che graver√† sul fondo relativo al progetto denominato Endocannabinoid system role in control of spermatogenesis (Prot. 20175MT5EM)- Linea Sud - PRIN 2017, di cui √® titolare  la Prof.ssa Concetta Ambrosino.  </t>
  </si>
  <si>
    <t>05706610481-VINCI-BIOCHEM SRL</t>
  </si>
  <si>
    <t>1482.3</t>
  </si>
  <si>
    <t xml:space="preserve">Fornitura di materiale di cancelleria vario - affidamento diretto ai sensi dell'art. 36, comma 2, lett. a) del D.Lgs 50/2016, e ss.mm.ii. </t>
  </si>
  <si>
    <t>06067681004-CLICK UFFICIO SRL</t>
  </si>
  <si>
    <t>1205.7</t>
  </si>
  <si>
    <t>inizio 17/09/2021, ultimazione 20/10/2021</t>
  </si>
  <si>
    <t>1470.19</t>
  </si>
  <si>
    <t>Accessori per analizzatore termogravitico in uso laboratorio Ingegneria Chimica e dei Materiali</t>
  </si>
  <si>
    <t>01599000765-AIRCOS SRL</t>
  </si>
  <si>
    <t>1640.0</t>
  </si>
  <si>
    <t>inizio 15/09/2021, ultimazione 18/11/2021</t>
  </si>
  <si>
    <t>Determina di affidamento diretto di Attrezzature Informatiche, tramite Accordo Quadro stipulato dallAteneo, ad esito di R.D.O. sul M.E.P.A. (Decreto Direttoriale del 02 marzo 2021, n. 239), con il fornitore Mods Art S.r.l.,, per esigenze di ricerca e didattica del Dipartimento di Diritto, Economia, Management e Metodi Quantitativi, ai sensi dell'art. 36, co 2, lett. a) del D.Lgs. 50/2016</t>
  </si>
  <si>
    <t>inizio 15/09/2021</t>
  </si>
  <si>
    <t>Gas per funzionamento analizzatore termogravimetrico laboratorio di Ingegneria Chimica e dei Materiali</t>
  </si>
  <si>
    <t>00209070168-SIAD</t>
  </si>
  <si>
    <t>350.1</t>
  </si>
  <si>
    <t>Software ptv Vision SISTema _prof. Gallo-DIP ECCELLENZA</t>
  </si>
  <si>
    <t>10693001009-SISTEMA SRL</t>
  </si>
  <si>
    <t>5000.0</t>
  </si>
  <si>
    <t>inizio 15/09/2021, ultimazione 31/10/2021</t>
  </si>
  <si>
    <t>Cartucce toner stampante Xerox Phaser 6600 lab. Ingegneria Civile_oda mepa</t>
  </si>
  <si>
    <t xml:space="preserve">01121130197-C2 Group srl </t>
  </si>
  <si>
    <t>444.51</t>
  </si>
  <si>
    <t>inizio 15/09/2021, ultimazione 15/10/2021</t>
  </si>
  <si>
    <t>Misuratore portata gas naturale laboratorio Fisica Tecnica per utilizzo nella Didattica Avanzata Dipartimento di Eccellenza</t>
  </si>
  <si>
    <t>MSCGNZ74L06B354Y-IMSYSTEM</t>
  </si>
  <si>
    <t>1847.0</t>
  </si>
  <si>
    <t>inizio 15/09/2021, ultimazione 31/12/2021</t>
  </si>
  <si>
    <t>Analizzatore di combustione laboratorio Fisica Tecnica per Utilizzo Didattica Avanzata Dipartimento di Eccellenza</t>
  </si>
  <si>
    <t>02099931202-SAUERMANN</t>
  </si>
  <si>
    <t>3535.5</t>
  </si>
  <si>
    <t>Servizio di consulenza in materia di Societ√† Partecipate e di Misurazione e Valutazione della performance</t>
  </si>
  <si>
    <t>BRNLVC55H20F839Q-Dott. Ludovico Barone</t>
  </si>
  <si>
    <t>27716.0</t>
  </si>
  <si>
    <t>7020.0</t>
  </si>
  <si>
    <t xml:space="preserve">Stazione climatica per laboratorio Fisica Tecnica progetto Dipartimento di Eccellenza </t>
  </si>
  <si>
    <t xml:space="preserve">03091631204-METEO SYSTEM </t>
  </si>
  <si>
    <t>1550.0</t>
  </si>
  <si>
    <t>Laser Scanner LSR2001 con accessori</t>
  </si>
  <si>
    <t>00857000152-SCAE SPA</t>
  </si>
  <si>
    <t>3304.7</t>
  </si>
  <si>
    <t xml:space="preserve">Determina di affidamento diretto di Materiale Informatico Vario, tramite Accordo Quadro stipulato dallAteneo, ad esito di R.D.O. sul M.E.P.A. (Decreto Direttoriale del 02 marzo 2021, n. 239), con il fornitore Mods Art S.r.l.,, per esigenze di ricerca e didattica del Dipartimento di Scienze e Tecnologie, ai sensi dell'art. 36, co 2, lett. a) del D.Lgs. 50/2016 </t>
  </si>
  <si>
    <t>1500.69</t>
  </si>
  <si>
    <t>inizio 15/09/2021, ultimazione 15/11/2021</t>
  </si>
  <si>
    <t>811.91</t>
  </si>
  <si>
    <t xml:space="preserve">PLAXIS 3D WorkSuite Academic SELECT Sibscription nolo annuale </t>
  </si>
  <si>
    <t>07439551214-GEOSPHERA HI-TECH SUPPLIES</t>
  </si>
  <si>
    <t>1301.0</t>
  </si>
  <si>
    <t>Oscilloscopio Tektronix con accessori per laboratorio Misure progetto Dipartimento di Eccellenza</t>
  </si>
  <si>
    <t>39975.0</t>
  </si>
  <si>
    <t>Strumentazione con sistema ubuntu20.0 include Lambda Stack for managng TensorFlow utilizzo Didattica Avanzata nell'ambito Dipartimento di Eccellenza</t>
  </si>
  <si>
    <t>05374591005-EUROLINK SRL</t>
  </si>
  <si>
    <t>24400.0</t>
  </si>
  <si>
    <t>7047.78</t>
  </si>
  <si>
    <t>inizio 10/09/2021, ultimazione 17/11/2021</t>
  </si>
  <si>
    <t>5041.0</t>
  </si>
  <si>
    <t>Affidamento diretto ex art. 36, comma 2, lett. a) del D. Lgs. 50/2016, alla Societ√† Envigo RMS S.r.l., con sede a S. Pietro al Natisone (UD), Z.I. Azzida, 57  - Cap. 33049  P.IVA/C.F. 02114740307, per lacquisto di materiale di consumo per il Laboratorio di Fisiologia, Endocrinologia e Metabolismo presso il Dipartimento di Scienze e Tecnologie, relativo al progetto Prin 2017 CIOFFI , di cui √® responsabile scientifico la Prof.ssa Federica Cioffi</t>
  </si>
  <si>
    <t>08149830153-ENVIGO RMS SRL</t>
  </si>
  <si>
    <t>99.5</t>
  </si>
  <si>
    <t>inizio 10/09/2021, ultimazione 20/10/2021</t>
  </si>
  <si>
    <t>Affidamento diretto, ex art. 36, comma 2, lett.a), del D. Lgs. 50/2016,per lacquisto del drone DJI Phantom 4 RTK + D-RTK 2 Mobile Station + accessori, per esigenze di ricerca  del Dipartimento di Scienze e Tecnologie Prof.ssa Paola Revellino, mediante Ordine diretto di Acquisto  ODA sul Mercato Elettronico della Pubblica Amministrazione - MEPA.</t>
  </si>
  <si>
    <t>02221850643-Analist Group srl</t>
  </si>
  <si>
    <t>8141.7</t>
  </si>
  <si>
    <t>inizio 10/09/2021, ultimazione 31/12/2021</t>
  </si>
  <si>
    <t xml:space="preserve">Affidamento diretto, ex art. 36, comma 2, lett.a), del D. Lgs. 50/2016, per l' acquisto di Webcam Dome 5 Mpixel Day &amp; Night con ottica fissa supergrandangolare, per esigenze di ricerca  del Dipartimento di Scienze e Tecnologie Prof.ssa Paola Revellino, mediante Ordine diretto di Acquisto  ODA sul Mercato Elettronico della Pubblica Amministrazione - MEPA. </t>
  </si>
  <si>
    <t>02778770343-BIT LINE SNC</t>
  </si>
  <si>
    <t xml:space="preserve">Affidamento diretto ex art. 36, comma 2, lett. a) del D. Lgs. 50/2016, alla Societ√† BIO-TECHNE S.r.l. a socio unico  con sede a Milano (MI) in Via Ranzato,12   Cap 20128  P.IVA/C.F.04869950156, per l'acquisto di materiale di consumo per il Laboratorio di Fisiologia, Endocrinologia e Metabolismo presso il Dipartimento di Scienze e Tecnologie, relativo al progetto Prin 2017 CIOFFI , di cui √® responsabile scientifico la Prof.ssa Federica Cioffi.  </t>
  </si>
  <si>
    <t>3225.0</t>
  </si>
  <si>
    <t>Affidamento diretto, ex art. 36, comma 2, lett.a), del D. Lgs. 50/2016,P per il servizio di analisi di campioni Metagenomics 16S, per esigenze di ricerca della professoressa Rosaria Sciarrillo del Dipartimento di Scienze e Tecnologie</t>
  </si>
  <si>
    <t>1260.0</t>
  </si>
  <si>
    <t>Affidamento diretto ex art. 36, comma 2, lett. a) del D. Lgs. 50/2016, alla Societ√† CHARLES RIVER LABORATORIES ITALIA S.r.l. con sede a Calco (Lecco) in Via Indipendenza,11   Cap 23885  P.IVA/C.F.00887630150, per l'acquisto di materiale di consumo per il Laboratorio di Fisiologia, Endocrinologia e Metabolismo presso il Dipartimento di Scienze e Tecnologie, relativo al progetto "Prin 2017_CIOFFI" , di cui √® responsabile scientifico la Prof.ssa Federica Cioffi.</t>
  </si>
  <si>
    <t>00887630150-CHARLES RIVER LABORATORIES ITALIA S.R.L.</t>
  </si>
  <si>
    <t>7664.16</t>
  </si>
  <si>
    <t>inizio 10/09/2021</t>
  </si>
  <si>
    <t xml:space="preserve">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Diritto,Economia,Management e Metodi Quantitativi, ai sensi dell'art. 36, co 2, lett. a) del D.Lgs. 50/2016 </t>
  </si>
  <si>
    <t>2896.05</t>
  </si>
  <si>
    <t>inizio 10/09/2021, ultimazione 18/10/2021</t>
  </si>
  <si>
    <t xml:space="preserve">Affidamento diretto ex art. 36, comma 2, lett. a) del D. Lgs. 50/2016, alla Societ√† MERCK LIFE SCIENCE S.r.l., con sede a Milano (MI), Via Monte Rosa, n.93 - Cap. 20149  P.IVA/C.F. 13209130155, per l'acquisto di materiale di consumo per il Laboratorio di Fisiologia, Endocrinologia e Metabolismo presso il Dipartimento di Scienze e Tecnologie, relativo al progetto Prin 2017 CIOFFI , di cui √® responsabile scientifico la Prof.ssa Federica Cioffi.  </t>
  </si>
  <si>
    <t>616.0</t>
  </si>
  <si>
    <t>Affidamento del SERVIZIO DI ALLESTIMENTO DI EVENTI per lUniversit√† degli Studi del Sannio</t>
  </si>
  <si>
    <t>75000.0</t>
  </si>
  <si>
    <t>inizio 06/09/2021, ultimazione 31/12/2021</t>
  </si>
  <si>
    <t>21679.5</t>
  </si>
  <si>
    <t>Affidamento diretto ex art. 36, comma 2, lett. a) del D. Lgs. 50/2016, alla Societ√† BIO-RAD LABORATORIES S.r.l., con sede a Segrate (MI), Via Cellini, n.18/A  - Cap. 20090  P.IVA 00801720152, per l'acquisto di materiale di consumo per il laboratorio di Biologia Molecolare presso il Dipartimento di Scienze e Tecnologie, relativo al progetto 40% Dottorandi PON Barisciano Borsa PON n¬∞3- Codice DOT13C4050, di cui √® responsabile scientifico la Prof.ssa Maria Moreno</t>
  </si>
  <si>
    <t>2768.42</t>
  </si>
  <si>
    <t>inizio 03/09/2021, ultimazione 19/10/2021</t>
  </si>
  <si>
    <t>Affidamento diretto ex art. 36, comma 2, lett. a) del D. Lgs. 50/2016, alla Societ√† G. GIAPPICHELLI EDITORE Srl con sede a Torino(TO), Via Po 21  Cap 10124  C.F. e P.IVA 02874520014, per la pubblicazione del volume dal titolo "L'effettivit√† e l'efficacia del diritto del lavoro. Saggi di un quinquennio" del  Prof. Rosario Santucci</t>
  </si>
  <si>
    <t>02874520014-G. GIAPPICHELLIEDITRE S.R.L.</t>
  </si>
  <si>
    <t>2850.0</t>
  </si>
  <si>
    <t>inizio 03/09/2021, ultimazione 26/10/2021</t>
  </si>
  <si>
    <t>pubblicazione open access su Energies_progetto Nanocog_prof.Glielmo</t>
  </si>
  <si>
    <t>1807.34</t>
  </si>
  <si>
    <t>inizio 01/09/2021, ultimazione 30/11/2021</t>
  </si>
  <si>
    <t xml:space="preserve">Affidamento diretto ex art. 36, comma 2, lett. a) del D. Lgs. 50/2016, alla Societ√† CONSUL S.r.l., con sede a Napoli (Na), Via Posillipo, n.316 - Cap. 80123  P.IVA 06768650639, per l'acquisto di materiale di consumo per il Laboratorio di Biologia Animale, Genetica e Risorse Alimentari presso il Dipartimento di Scienze e Tecnologie, relativo al progetto Fondo Dottorati DST- Budget 10% Di Meo Maria Chiara, di cui √® responsabile scientifico il Prof. Ettore Varricchio.  </t>
  </si>
  <si>
    <t>300.0</t>
  </si>
  <si>
    <t>inizio 30/08/2021, ultimazione 16/11/2021</t>
  </si>
  <si>
    <t>Affidamento diretto ex art. 36, comma 2, lett. a) del D. Lgs. 50/2016, alla Societ√† PRODOTTI GIANNI S.r.l., con sede a Milano (MI), Via M.F.Quintiliano,30 - Cap. 20138  C.F./P.IVA 08860270969, per l'acquisto di materiale di consumo per il Laboratorio di Biologia Animale, Genetica e Risorse Alimentari presso il Dipartimento di Scienze e Tecnologie, relativo al progetto Fondo Dottorati DST- Budget 10% Orso Graziella, di cui √® responsabile scientifico il Prof. Ettore Varricchio</t>
  </si>
  <si>
    <t>1265.63</t>
  </si>
  <si>
    <t>inizio 30/08/2021, ultimazione 20/10/2021</t>
  </si>
  <si>
    <t xml:space="preserve">Affidamento diretto ex art. 36, comma 2, lett. a) del D. Lgs. 50/2016, alla Societ√† AUROGENE S.r.l., con sede a Roma (RM), Via dei Lucani, n.51-53-55 - Cap. 00185  P.IVA 10926691006, , per l'acquisto di materiale di consumo per i  Laboratori di Biologia Animale, Genetica e Risorse Alimentari, Biologia Molecolare e di Biologia Applicata  presso il Dipartimento di Scienze e Tecnologie.  </t>
  </si>
  <si>
    <t>4470.76</t>
  </si>
  <si>
    <t>Affidamento diretto ex art. 36, comma 2, lett. a) del D. Lgs. 50/2016, alla Societ√† CHELAB S.r.l.  Socio Unico della Merieux NutriSciences Corporation con sede italiana in Resana (TV), Via Fratta, n. 25 - Cap. 30123  P.IVA/C.F. 01500900269,per l'acquisto di materiale di consumo per il Laboratorio di Ecologia presso il Dipartimento di Scienze e Tecnologie, che graver√† sul fondo relativo al progetto denominato LR5_DeNicola Legge Regionale 5  Annualit√† 2008 - DeNicola  Caratterizzazione della comunit√† microbica di suoli naturali e risposta agli stress , di cui √® titolare  la Prof.ssa Flavia De Nicola.</t>
  </si>
  <si>
    <t xml:space="preserve">01500900269-CHELAB S.r.l.  Socio Unico della Merieux NutriSciences Corporation </t>
  </si>
  <si>
    <t>5220.0</t>
  </si>
  <si>
    <t>inizio 30/08/2021, ultimazione 25/11/2021</t>
  </si>
  <si>
    <t>Sonda a filo caldo digitale con sensore di temperatura</t>
  </si>
  <si>
    <t>259.0</t>
  </si>
  <si>
    <t>inizio 29/08/2021, ultimazione 10/12/2021</t>
  </si>
  <si>
    <t>Affidamento diretto ex art. 36, comma 2, lett. a) del D. Lgs. 50/2016, alla Societ√† PRODOTTI GIANNI S.r.l., con sede a Milano (MI), Via M.F.Quintiliano,30 - Cap. 20138  C.F./P.IVA 08860270969 per l'acquisto di materiale di consumo per il laboratorio di Fisiologia/Genetica presso il Dipartimento di Scienze e Tecnologie, relativo al progetto Inbiomed  Prodotti Innovativi ad alto contenuto biotecnologico per il settore medicale, di cui √® responsabile scientifico il Prof. Pasquale Vito</t>
  </si>
  <si>
    <t>2046.7</t>
  </si>
  <si>
    <t>inizio 26/08/2021, ultimazione 19/10/2021</t>
  </si>
  <si>
    <t>Affidamento diretto ex art. 36, comma 2, lett. a) del D. Lgs. 50/2016, alla Societ√† EUROCLONE S.p.A. a socio unico, con sede a Milano (MI), Via Spezia,1 - Cap. 20142  P.IVA/C.F. 08126390155, per l'acquisto di materiale di consumo per il Laboratorio di Biologia Animale, Genetica e Risorse Alimentari presso il Dipartimento di Scienze e Tecnologie, relativo al progetto Fondo Dottorati DST- Budget 10% Orso Graziella, di cui √® responsabile scientifico il Prof. Ettore Varricchio.</t>
  </si>
  <si>
    <t>429.0</t>
  </si>
  <si>
    <t>inizio 26/08/2021, ultimazione 20/10/2021</t>
  </si>
  <si>
    <t>Affidamento diretto ex art. 36, comma 2, lett. a) del D. Lgs. 50/2016, alla Societ√† LIFE TECHNOLOGIES ITALIA, Fil. della Life Technologies Europe B.V., con sede in Monza (MB), Via Tiepolo, n. 18 - Cap. 20900  P.IVA/C.F. 12792100153,per l'acquisto di materiale di consumo per il Laboratorio di Biologia Applicata presso il Dipartimento di Scienze e Tecnologie, che graver√† sul fondo relativo al progetto denominato Endocannabinoid system role in control of                      spermatogenesis (Prot. 20175MT5EM)- Linea Sud - PRIN 2017, di cui √® titolare  la Prof.ssa Concetta Ambrosino.</t>
  </si>
  <si>
    <t>362.58</t>
  </si>
  <si>
    <t>inizio 26/08/2021</t>
  </si>
  <si>
    <t>Affidamento diretto ex art. 36, comma 2, lett. a) del D. Lgs. 50/2016, alla Societ√† LIFE TECHNOLOGIES ITALIA, Fil. della Life Technologies Europe B.V., con sede in Monza (MB), Via Tiepolo, n. 18 - Cap. 20900  P.IVA/C.F. 12792100153,  per l'acquisto di attrezzature tecnico-scientifiche necessari ai laboratori di ricerca del Dipartimento di Scienze e Tecnologie, relativo al Progetto Genomaesalute, di cui √® responsabile scientifico il  Prof. Michele Ceccarelli</t>
  </si>
  <si>
    <t>10805.4</t>
  </si>
  <si>
    <t>inizio 26/08/2021, ultimazione 13/10/2021</t>
  </si>
  <si>
    <t>Affidamento diretto ex art. 36, comma 2, lett. a) del D. Lgs. 50/2016, alla Societ√† VWR International  S.r.l., con sede a Milano (MI), Via San Giusto, 85 - Cap. 20153  P.IVA /C.F. 12864800151,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</si>
  <si>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12864800151-VWR INTERNATIONAL SRL</t>
  </si>
  <si>
    <t>260.0</t>
  </si>
  <si>
    <t>Affidamento diretto ex art. 36, comma 2, lett. a) del D. Lgs. 50/2016, alla Societ√† DBA ITALIA S.r.l., con sede a Segrate (MI), Via Umbria,10  - Cap. 20054  P.IVA 07484470153,per l'acquisto di materiale di consumo per il Laboratorio di Biologia Applicata presso il Dipartimento di Scienze e Tecnologie, relativo al progetto Goodwater , di cui √® responsabile scientifico la Prof.ssa Concetta Ambrosino.</t>
  </si>
  <si>
    <t>07484470153-DBA ITALIA SRL</t>
  </si>
  <si>
    <t>inizio 26/08/2021, ultimazione 11/10/2021</t>
  </si>
  <si>
    <t>Affidamento diretto ex art. 36, comma 2, lett. a) del D. Lgs. 50/2016, alla Societ√† MERCK LIFE SCIENCE S.r.l., con sede a Milano (MI), Via Monte Rosa, n.93 - Cap. 20149  P.IVA/C.F. 13209130155, per l'acquisto di materiale di consumo per il laboratorio di Biologia Molecolare presso il Dipartimento di Scienze e Tecnologia, relativo al progetto NEON Nanofotonica per nuovi approcci diagnostici e terapeutici in Oncologia e Neurologia, di cui √® responsabile scientifico la Prof.ssa Lina Sabatino</t>
  </si>
  <si>
    <t>2750.1</t>
  </si>
  <si>
    <t>Affidamento diretto ex art. 36, comma 2, lett. a) del D. Lgs. 50/2016, alla Societ√† LIFE TECHNOLOGIES ITALIA, Fil. della Life Technologies Europe B.V., con sede in Monza (MB), Via Tiepolo, n. 18 - Cap. 20900  P.IVA/C.F. 12792100153,per l'acquisto di materiale di consumo per il Laboratorio di Biologia Applicata presso il Dipartimento di Scienze e Tecnologie, che graver√† sul fondo relativo al progetto denominato Legge Regionale del 28 Marzo 2002 numero 5  Annualit√† 2007/2008 , di cui √® titolare  la Prof.ssa Concetta Ambrosino.</t>
  </si>
  <si>
    <t>374.64</t>
  </si>
  <si>
    <t>Affidamento diretto ex art. 36, comma 2, lett. a) del D. Lgs. 50/2016, alla Societ√† EUROFINS GENOMICS ITALY S.r.l. con sede a Vimodrone (MI) in Via B. Buozzi. 2   Cap 20055 P.IVA/C.F. 07984380969,per l'acquisto di materiale di consumo per il Laboratorio di Fisiologia, Endocrinologia e Metabolismo presso il Dipartimento di Scienze e Tecnologie, relativo al progetto Prin 2017 CIOFFI , di cui √® responsabile scientifico la Prof.ssa Federica Cioffi.</t>
  </si>
  <si>
    <t>07984380969-EUROFINS GENOMICS ITALY SRL</t>
  </si>
  <si>
    <t>inizio 26/08/2021, ultimazione 21/12/2021</t>
  </si>
  <si>
    <t>Affidamento diretto ex art. 36, comma 2, lett. a) del D. Lgs. 50/2016, alla Societ√† SARSTEDT  S.r.l., con sede a Trezzano sul Naviglio (MI), Viale Leonardo da Vinci, n.97 - Cap. 20090  P.IVA 02217770235 e C.F. 00695940213,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</si>
  <si>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2807.26</t>
  </si>
  <si>
    <t>inizio 26/08/2021, ultimazione 09/11/2021</t>
  </si>
  <si>
    <t>Affidamento diretto ex art. 36, comma 2, lett. a) del D. Lgs. 50/2016, alla Societ√† MICROTECH S.r.l., con sede a Napoli (NA), Viale Augusto,162 - Cap. 80125  P.IVA /C.F. 05791560633,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</si>
  <si>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1445.4</t>
  </si>
  <si>
    <t>inizio 26/08/2021, ultimazione 26/10/2021</t>
  </si>
  <si>
    <t>Affidamento diretto ex art. 36, comma 2, lett. a) del D. Lgs. 50/2016, alla Societ√† MERCK LIFE SCIENCE S.r.l., con sede a Milano (MI), Via Monte Rosa, n.93 - Cap. 20149  P.IVA/C.F. 13209130155, per l'acquisto di materiale di consumo per il Laboratorio di Biologia Molecolare e Trasduzione del Segnale presso il Dipartimento di Scienze e Tecnologie, relativo al progetto FRA_2019_Pancione, di cui √® responsabile scientifico il Prof. Massimo Pancione</t>
  </si>
  <si>
    <t>701.48</t>
  </si>
  <si>
    <t>inizio 26/08/2021, ultimazione 11/11/2021</t>
  </si>
  <si>
    <t xml:space="preserve">Affidamento dei SERVIZI INTEGRATI di: a)ACCOGLIENZA E PORTIERATO da effettuarsi nei plessi immobiliari della Universit√† degli Studi del Sannio ed in occasione di EVENTI E MANIFESTAZIONI per ladozione delle misure organizzative e di presidio per prosieguo delle attivit√† in condizione di sicurezza a causa del Covid-19 b)RONDA, RADIOALLARME E DI PRONTO INTERVENTO a servizio del costruendo immobile ubicato alla Via Mulini di Benevento c)SPERIMENTAZIONE E  DI MONITORAGGIO REMOTO E/O INTERVENTO FISICO SUL POSTO DEI SISTEMI DI CONTROLLO ACCESSO installati per il tracciamento per prosieguo delle attivit√† in condizione di sicurezza a causa del Covid-19 </t>
  </si>
  <si>
    <t>02269520645-POLIZIOTTO NOTTURNO S.R.L.</t>
  </si>
  <si>
    <t>22865.5</t>
  </si>
  <si>
    <t>inizio 18/08/2021, ultimazione 31/12/2021</t>
  </si>
  <si>
    <t>7544.0</t>
  </si>
  <si>
    <t>Affidamento diretto ex art. 36, comma 2, lett. a) del D. Lgs. 50/2016, alla Societ√† Merck Life Science S.r.l., con sede a Milano (MI), Via Monte Rosa, n.93 - Cap. 20149  P.IVA/C.F. 13209130155, per l'acquisto di materiale di consumo per il Laboratorio di Biologia Animale e Risorse Alimentari presso il Dipartimento di Scienze e Tecnologie, relativo al progetto Salute, di cui √® responsabile scientifico il Prof. Ettore Varricchio.</t>
  </si>
  <si>
    <t>949.1</t>
  </si>
  <si>
    <t>inizio 05/08/2021, ultimazione 01/10/2021</t>
  </si>
  <si>
    <t>Affidamento diretto ex art. 36, comma 2, lett. a) del D. Lgs. 50/2016, alla BIOCLINICAL FORNITURE  S.a.s. con sede a Napoli (Na) in Via San Giacomo dei Capri, 125  Cap 80131 P.IVA/C.F. 03179910637 per l'acquisto di attrezzature tecnico-scientifiche necessarie ai laboratori di ricerca del Dipartimento di Scienze e Tecnologie, relativo al Progetto Genomaesalute, di cui √® responsabile scientifico il  Prof. Michele Ceccarelli</t>
  </si>
  <si>
    <t>03179910637-bioclinical forniture sas</t>
  </si>
  <si>
    <t>2050.0</t>
  </si>
  <si>
    <t>inizio 05/08/2021</t>
  </si>
  <si>
    <t>Pubblicazione articolo scientifico "General counteraction exerted against denaturants" - Prof. Giuseppe Graziano</t>
  </si>
  <si>
    <t>721.37</t>
  </si>
  <si>
    <t>inizio 05/08/2021, ultimazione 30/12/2021</t>
  </si>
  <si>
    <t>721.67</t>
  </si>
  <si>
    <t xml:space="preserve">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Scienze e Tecnologie, ai sensi dell'art. 36, co 2, lett. a) del D.Lgs. 50/2016 </t>
  </si>
  <si>
    <t>4467.9</t>
  </si>
  <si>
    <t>inizio 03/08/2021, ultimazione 18/10/2021</t>
  </si>
  <si>
    <t>Pubblicazione scientifica open access su rivista ieee</t>
  </si>
  <si>
    <t>1067.5</t>
  </si>
  <si>
    <t>inizio 01/08/2021, ultimazione 31/12/2021</t>
  </si>
  <si>
    <t>Pubblicazione articolo scientifico su rivista Bimedical Optics Express - Prof Marco Consales</t>
  </si>
  <si>
    <t>1111111-The Optical Society</t>
  </si>
  <si>
    <t>1665.0</t>
  </si>
  <si>
    <t>Reagenti per laboratorio di Biologia Molecolare Budget 10%DOTT Leo Manuela</t>
  </si>
  <si>
    <t>1635.75</t>
  </si>
  <si>
    <t>Acquisto di spazi pubblicitari su Repubblica.it</t>
  </si>
  <si>
    <t>04705810150-A.Manzoni &amp; C. S.p.A</t>
  </si>
  <si>
    <t>inizio 30/07/2021, ultimazione 07/10/2021</t>
  </si>
  <si>
    <t>Adesione Convenzione Consip "Veicoli in Noleggio 14"  lotto 2, per le esigenze del D.S.T. (Accordo Regione Campania (Direttore Generale per i Lavori Pubblici e la Protezione Civile) ai sensi dellart. 15 della Legge 7 agosto 1990, n. 241 e dellart. 4, comma 2 del D. Legislativo 2 gennaio 2018, n. 1 che ha per oggetto Studio della evoluzione della Frana di Montaguto (AV) con tecniche di monitoraggio integrato- Responsabili Scientifici prof. Guadagno e prof.ssa Revellino</t>
  </si>
  <si>
    <t>08083020019-Leasys Spa</t>
  </si>
  <si>
    <t>9345.96</t>
  </si>
  <si>
    <t>inizio 30/07/2021</t>
  </si>
  <si>
    <t>583.22</t>
  </si>
  <si>
    <t>Acquisto di spazi pubblicitari su Radio Company Campania</t>
  </si>
  <si>
    <t xml:space="preserve">01063880627-Luna Communication Italia srl </t>
  </si>
  <si>
    <t>1229.5</t>
  </si>
  <si>
    <t>inizio 29/07/2021, ultimazione 30/09/2021</t>
  </si>
  <si>
    <t xml:space="preserve">Acquisto di spazi pubblicitari su Anteprima24.it </t>
  </si>
  <si>
    <t>01671520623-Anteprima Societ√† Cooperativa</t>
  </si>
  <si>
    <t>inizio 29/07/2021</t>
  </si>
  <si>
    <t>Acquisto di spazi pubblicitari su Il Sannio Quotidiano.</t>
  </si>
  <si>
    <t>inizio 29/07/2021, ultimazione 07/10/2021</t>
  </si>
  <si>
    <t>Acquisto di spazi pubblicitari sulla prima web tv sannita Ntr24.tv</t>
  </si>
  <si>
    <t>01535630626-MP WEB s.r.l</t>
  </si>
  <si>
    <t>inizio 28/07/2021, ultimazione 27/08/2021</t>
  </si>
  <si>
    <t>Acquisto di spazi pubblicitari su Ottopagine.it</t>
  </si>
  <si>
    <t>01592210627-Ottomedia  s.r.l</t>
  </si>
  <si>
    <t>inizio 28/07/2021, ultimazione 30/09/2021</t>
  </si>
  <si>
    <t>Rinnovo licenza software MIDAS_Laboratorio Tecnica delle Costruzioni_ordine MEPA</t>
  </si>
  <si>
    <t>04057560288-CSPFEA Societ√† Cooperativa</t>
  </si>
  <si>
    <t>inizio 27/07/2021, ultimazione 30/10/2021</t>
  </si>
  <si>
    <t>Affidamento diretto ex art. 36, comma 2, lett. a) del D. Lgs. 50/2016,, mediante ODA sulla Piattaforma del Mercato Elettronico della Pubblica Amministrazione  - MEPA,  per lacquisizione di Rinnovo del Servizio di Hosting Virtual Machine con   Database Server e garanzia e Rinnovo 1 Tableau Creator e 5 Explorer per esigenze di ricerca del Prof. Rampone Salvatore - DEMM</t>
  </si>
  <si>
    <t>07222631009-DB SERVICES</t>
  </si>
  <si>
    <t>inizio 27/07/2021, ultimazione 26/08/2021</t>
  </si>
  <si>
    <t>Affidamento diretto ex art. 36, comma 2, lett. a) del D. Lgs. 50/2016 del servizio di rinnovo  di n. 6 domini Unisannio - "Pacchetto Hosting Easy Linux" per esigenze del Dipartimento di Diritto, Economia, Management e Metodi Quantitativi della Universit√† degli Studi del Sannio - DEMM.</t>
  </si>
  <si>
    <t>04552920482-ARUBA S.p.A.</t>
  </si>
  <si>
    <t>inizio 26/07/2021, ultimazione 31/07/2021</t>
  </si>
  <si>
    <t xml:space="preserve"> Determina affidamento diretto Pubblicazione Scientifica prof. Vincenzo Galdi</t>
  </si>
  <si>
    <t>2677.5</t>
  </si>
  <si>
    <t>inizio 25/07/2021, ultimazione 31/12/2021</t>
  </si>
  <si>
    <t>Materiale per espressione e purificazione di proteine_ Prof.ssa Spadaccini</t>
  </si>
  <si>
    <t>2500.0</t>
  </si>
  <si>
    <t>Intervento tecnico pc in consegna prof. Celestino Grifa</t>
  </si>
  <si>
    <t>05685740721-C&amp;C Consulting s.p.a.</t>
  </si>
  <si>
    <t>550.0</t>
  </si>
  <si>
    <t>Pubblicazione scientifica su rivista IEEE - Prof Vasca</t>
  </si>
  <si>
    <t>212.0</t>
  </si>
  <si>
    <t>Affidamento dei servizi per lelaborazione grafica della identit√† visiva caratterizzante le varie sedi dellAteneo</t>
  </si>
  <si>
    <t>07988800582-ATON IMMAGINE E COMUNICAZIONE</t>
  </si>
  <si>
    <t>15000.0</t>
  </si>
  <si>
    <t>inizio 23/07/2021, ultimazione 05/08/2021</t>
  </si>
  <si>
    <t>Fornitura prodotti per la limitazione del contagio da covid 19</t>
  </si>
  <si>
    <t>MRCNNL62P59H894S-SERENA DI MARCIANO ANTONELLA</t>
  </si>
  <si>
    <t>3712.0</t>
  </si>
  <si>
    <t>inizio 23/07/2021, ultimazione 29/09/2021</t>
  </si>
  <si>
    <t>2608.0</t>
  </si>
  <si>
    <t>Affidamento diretto ex art. 36, comma 2, lett. a) del D. Lgs. 50/2016, mediante ODA  sulla Piattaforma del Mercato Elettronico della Pubblica Amministrazione  - MEPA,  per lacquisizione di n. 1 Notebook Acer Aspire 3 A315-57G-7136 DDR4-SDRAM Computer portatile 39,6, (15,6),  per le esigenze di ricerca del Prof. Filippo Russo del Dipartimento di Scienze e Tecnologie</t>
  </si>
  <si>
    <t>FLJLSN84S03L483C-NUVOLAPOINT DI FLAJS ALESSANDRO</t>
  </si>
  <si>
    <t>763.16</t>
  </si>
  <si>
    <t>inizio 23/07/2021, ultimazione 23/09/2021</t>
  </si>
  <si>
    <t xml:space="preserve">Affidamento diretto ex art. 36, comma 2, lett. a) del D. Lgs. 50/2016, alla Societ√† RESTEK S.r.l. con sede a Cernusco S/N. (MI) in Via Miglioli 2/A  Cap 20063 P.IVA/C.F. 03226210155, dell'acquisto di materiale di consumo per i laboratori didattici del  Dipartimento di Scienze e Tecnologia </t>
  </si>
  <si>
    <t>03226210155-RESTEK S.r.l.</t>
  </si>
  <si>
    <t>183.0</t>
  </si>
  <si>
    <t>inizio 23/07/2021, ultimazione 12/10/2021</t>
  </si>
  <si>
    <t>Sonde Oroboros, piccole strumentazioni per progetto Genoma e Salute _ DST_ prof. Luigi Cerulo</t>
  </si>
  <si>
    <t>1111111-Oroboros Instruments GmbH</t>
  </si>
  <si>
    <t>2646.0</t>
  </si>
  <si>
    <t>inizio 22/07/2021, ultimazione 31/12/2021</t>
  </si>
  <si>
    <t xml:space="preserve">Affidamento diretto, ex art. 36, comma 2, lett.a), del D. Lgs. 50/2016, per l'acquisto della licenza del software Corel Draw Graphics Suite 2021 Education, per esigenze di ricerca  della Prof.ssa Maria Rosaria Senatore del Dipartimento di Scienze e Tecnologie, mediante Ordine diretto di Acquisto  ODA sul Mercato Elettronico della Pubblica Amministrazione - MEPA. </t>
  </si>
  <si>
    <t>01813500541-PUCCIUFFICIO SRL</t>
  </si>
  <si>
    <t>119.0</t>
  </si>
  <si>
    <t>SOFTWARE ARENA per utilizzo didattica avanzata_dip eccellenza_ Prof. Savino</t>
  </si>
  <si>
    <t>09668930010-SPINDOX SPA</t>
  </si>
  <si>
    <t>2200.0</t>
  </si>
  <si>
    <t>inizio 19/07/2021</t>
  </si>
  <si>
    <t>Affidamento diretto, ex art. 36, comma 2, lett.a), del D. Lgs. 50/2016,  per lacquisto di Gas tecnici, per esigenze dei laboratori del Dipartimento di Scienze e Tecnologie, mediante Ordine Diretto di acquisto in esecuzione dellAccordo Quadro, di durata triennale, della fornitura di gas tecnici puri per i consumi dei Laboratori di ricerca del Dipartimento di Scienze e Tecnologie dellUniversit√† degli Studi del Sannio</t>
  </si>
  <si>
    <t>04127270157-SOL SpA</t>
  </si>
  <si>
    <t>6159.2</t>
  </si>
  <si>
    <t>inizio 17/07/2021, ultimazione 31/12/2021</t>
  </si>
  <si>
    <t>583.2</t>
  </si>
  <si>
    <t>Sistema portatile radio per monitoraggio utilizzo nella diattica avanzata Fisica Tecnica Dipartimento di Eccellenza</t>
  </si>
  <si>
    <t>01422830990-NESA</t>
  </si>
  <si>
    <t>17358.0</t>
  </si>
  <si>
    <t>inizio 15/07/2021, ultimazione 31/12/2021</t>
  </si>
  <si>
    <t>Materiale per laboratorio prof.ssa Concetta Ambrosino</t>
  </si>
  <si>
    <t>13110270157-QIAGEN S.R.L.</t>
  </si>
  <si>
    <t>3966.94</t>
  </si>
  <si>
    <t>Analisi di mercato nell'ambito del progetto dal titolo "Viticoltura di precisione per produzioni sostenibili di qualit√† con caratteristiche funzionali (VERITAS)"</t>
  </si>
  <si>
    <t>Affidamento diretto ex art. 36, comma 2, lett. a) del D. Lgs. 50/2016, alla Societ√† DBA ITALIA S.r.l., con sede a Segrate (MI), Via Umbria,10  - Cap. 20054  P.IVA 07484470153,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</si>
  <si>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2522.0</t>
  </si>
  <si>
    <t>inizio 13/07/2021, ultimazione 11/10/2021</t>
  </si>
  <si>
    <t>Servizio di trasporto per i giorni 13 e 14 luglio 2021 per la Summer School 2021</t>
  </si>
  <si>
    <t>00105540645-U. Bartolini &amp; C. SNC</t>
  </si>
  <si>
    <t>850.0</t>
  </si>
  <si>
    <t>inizio 13/07/2021, ultimazione 16/07/2021</t>
  </si>
  <si>
    <t>Affidamento diretto ex art. 36, comma 2, lett. a) del D. Lgs. 50/2016, alla Societ√† LEVANCHIMICA S.r.l., con sede a Bari (BA), Viale T.Columbo,41 - Cap.70132   C.F./P.IVA 03587930722, per l'acquisto di materiale di consumo per i laboratori di Genetica e Biologia animale e risorse alimentari  presso il Dipartimento di Scienze e Tecnologie</t>
  </si>
  <si>
    <t>1036.71</t>
  </si>
  <si>
    <t>Affidamento diretto ex art. 36, comma 2, lett. a) del D. Lgs. 50/2016, alla Societ√† CONSUL S.r.l., con sede a Napoli (Na), Via Posillipo, n.316 - Cap. 80123  P.IVA 06768650639, del servizio di riparazione Microscopio Nikon E600 per i laboratori didattici del  Dipartimento di Scienze e Tecnologia , che graver√† sul fondo relativo al progetto Manutenzione Ordinaria Attrezzature, di cui √® titolare la Prof.ssa Maria Moreno.</t>
  </si>
  <si>
    <t>2590.0</t>
  </si>
  <si>
    <t>inizio 13/07/2021, ultimazione 08/11/2021</t>
  </si>
  <si>
    <t>Fornitura di n. 450 borracce personalizzate e n. 500 zaini porta computer personalizzati, per gli immatricolati ai Corsi di Studio dellUniversit√† degli Studi del Sannio a.a. 21-22</t>
  </si>
  <si>
    <t>10030120967-GED GROUP SRL</t>
  </si>
  <si>
    <t>6635.5</t>
  </si>
  <si>
    <t>inizio 09/07/2021, ultimazione 01/09/2021</t>
  </si>
  <si>
    <t>Affidamento diretto, ex art. 36, comma 2, lett.a), del D. Lgs. 50/2016,  per lacquisizione di Servizi di verifica dell'implementabilit√† di interfacce per dati satellitari in ambito GS per esigenze di ricerca  del professore Prof. Rampone Salvatore del Dipartimento DEMM,  nellambito del Progetto denominato Progetto FORCE DD MIUR 2571 del 19/12/2019- PON 2014-2020 mediante Trattativa Diretta (T.D.) N. 1760333 sulla piattaforma del Mercato Elettronico della Pubblica Amministrazione - MEPA</t>
  </si>
  <si>
    <t>04381000613-E.C.S. srl</t>
  </si>
  <si>
    <t>8040.0</t>
  </si>
  <si>
    <t>inizio 06/07/2021, ultimazione 31/07/2021</t>
  </si>
  <si>
    <t xml:space="preserve">Servizio di analisi stratigrafiche degli intonaci delle facciate di Palazzo San Domenico. </t>
  </si>
  <si>
    <t>4440.0</t>
  </si>
  <si>
    <t>inizio 06/07/2021, ultimazione 15/07/2021</t>
  </si>
  <si>
    <t>4400.0</t>
  </si>
  <si>
    <t xml:space="preserve">Manutenzione alle tapparelle e fornitura di nuovi tendaggi verticali in sostituzione di quelli esistenti non pi√π utilizzabili e riparabili sempre a servizio dei alcuni uffici del plesso Ex Poste alla Via delle Puglie </t>
  </si>
  <si>
    <t>01706390620-MADIN SRL</t>
  </si>
  <si>
    <t>5419.5</t>
  </si>
  <si>
    <t>inizio 06/07/2021, ultimazione 20/07/2021</t>
  </si>
  <si>
    <t>Fornitura bancone receptionist per la Biblioteca centrale di Ateneo ed sedute ergonomiche</t>
  </si>
  <si>
    <t>02900360658-SIAR srl</t>
  </si>
  <si>
    <t>5130.0</t>
  </si>
  <si>
    <t>inizio 06/07/2021, ultimazione 03/08/2021</t>
  </si>
  <si>
    <t xml:space="preserve">fornitura di Macchina elettro-dinamica assiale per prove meccaniche su materiali </t>
  </si>
  <si>
    <t>04199670268-STEP ENGINEERING SRL</t>
  </si>
  <si>
    <t>47000.0</t>
  </si>
  <si>
    <t>inizio 02/07/2021, ultimazione 15/11/2021</t>
  </si>
  <si>
    <t>Fornitura di n. 11.200 Buoni pasto elettronici</t>
  </si>
  <si>
    <t>08122660585-Repas Lunch Coupon s.r.l.</t>
  </si>
  <si>
    <t>61026.56</t>
  </si>
  <si>
    <t>inizio 01/07/2021</t>
  </si>
  <si>
    <t>51633.31</t>
  </si>
  <si>
    <t>Fornitura di pergamene di Laurea e di tubi porta Diploma, comprensiva del servizio di grafica, stampa e personalizzazione, per le esigenze relative allevento denominato Graduation Day, previsto per il 28 luglio 2021</t>
  </si>
  <si>
    <t>00826390627-TIPOGRAFIA CIARDIELLO DI CIARDIELLO &amp; LONARDO S.N.C.</t>
  </si>
  <si>
    <t>1988.0</t>
  </si>
  <si>
    <t>inizio 01/07/2021, ultimazione 28/07/2021</t>
  </si>
  <si>
    <t>Carico elettrico 7.5 KW Prodigit utilizzo didattica avanzata prof. Sasso Dipartimento di Eccellenza</t>
  </si>
  <si>
    <t xml:space="preserve">10151060158-SELINT SRL </t>
  </si>
  <si>
    <t>13775.0</t>
  </si>
  <si>
    <t>inizio 01/07/2021, ultimazione 31/12/2021</t>
  </si>
  <si>
    <t>Aggiornamento licenza Software Comsol Per attivit√† del laboratorio di Ingegneria Chimica e dei Materiali - prof. Pepe</t>
  </si>
  <si>
    <t>02713430987-COMSOL</t>
  </si>
  <si>
    <t>797.0</t>
  </si>
  <si>
    <t>inizio 01/07/2021, ultimazione 30/11/2021</t>
  </si>
  <si>
    <t xml:space="preserve">Fornitura di toghe e tocchi per il graduation day 2021 - Affidamento diretto (art. 36, c. 2, lett. A, D.Lgs. 50/2016) Numero Trattativa 1736973 - D.D. n. </t>
  </si>
  <si>
    <t>11400.0</t>
  </si>
  <si>
    <t>inizio 30/06/2021, ultimazione 26/07/2021</t>
  </si>
  <si>
    <t xml:space="preserve">4 moduli Vertiss Plus package per esigenze di ricerca presso il Laboratorio di Fisica Tecnica </t>
  </si>
  <si>
    <t>FR77449744143-Novintiss - 4 rue Henry Crespin 17000 La Rochell</t>
  </si>
  <si>
    <t>690.0</t>
  </si>
  <si>
    <t>inizio 30/06/2021, ultimazione 27/07/2021</t>
  </si>
  <si>
    <t>Termocamera FLIR ONE Pro Android con USB C - Dott.Ruzza 10% - DST</t>
  </si>
  <si>
    <t>03614790875-AP   SISTEMI   DI   MACI   PAOLO   E   CARBONE  ALESSANDRO S.N.C.</t>
  </si>
  <si>
    <t>430.0</t>
  </si>
  <si>
    <t>inizio 30/06/2021, ultimazione 30/09/2021</t>
  </si>
  <si>
    <t xml:space="preserve">Affidamento diretto, ex art. 36, comma 2, lett.a), del D. Lgs. 50/2016, per un importo pari ad euro 322,79 oltre IVA al 22%, per lacquisto di materiale per laboratorio, per esigenze di ricerca del Dipartimento di Scienze e Tecnologie </t>
  </si>
  <si>
    <t>03479250874-Perlabo s.a.s.</t>
  </si>
  <si>
    <t>322.79</t>
  </si>
  <si>
    <t>inizio 30/06/2021, ultimazione 29/07/2021</t>
  </si>
  <si>
    <t xml:space="preserve">Affidamento diretto ex art. 36, comma 2, lett. a) del D. Lgs. 50/2016 per l'acquisto di n. 1 Notebook 15,6 pollici per esigenze di ricerca del Prof. Ciarcia Sabatino del Dipartimento di Scienze e Tecnologie, mediante trattativa diretta n. 1751458 sulla Piattaforma del Mercato Elettronico della Pubblica Amministrazione  - MEPA. </t>
  </si>
  <si>
    <t>01486330309-DPS Informatica</t>
  </si>
  <si>
    <t>1799.0</t>
  </si>
  <si>
    <t>Affidamento diretto, ex art. 36, comma 2, lett.a), del D. Lgs. 50/2016, per lacquisto di materiale per laboratorio, per esigenze di ricerca del Dipartimento di Scienze e Tecnologie Prof. Alberto ZULLO</t>
  </si>
  <si>
    <t>264.06</t>
  </si>
  <si>
    <t>Affidamento diretto ex art. 36, comma 2, lett. a) del D. Lgs. 50/2016,  per la stampa e  Pubblicazione del volume  dal titolo  Termini di conformazione del regolamento negoziale della Prof.ssa Antonella Tartaglia Polcini</t>
  </si>
  <si>
    <t>1200.0</t>
  </si>
  <si>
    <t>inizio 29/06/2021, ultimazione 31/12/2021</t>
  </si>
  <si>
    <t>Stampante 3D Ultimaker S5 per Progetto Eccellenza_Laboratorio Fisica Tecnica_ordine mepa</t>
  </si>
  <si>
    <t xml:space="preserve">02843510807-SHAPE CREATIVELAB S.R.L.S </t>
  </si>
  <si>
    <t>5895.0</t>
  </si>
  <si>
    <t>inizio 29/06/2021, ultimazione 10/08/2021</t>
  </si>
  <si>
    <t>Affidamento diretto ex art. 36, comma 2, lett. a) del D. Lgs. 50/2016, alla Societ√† ARTIGLASS S.r.l. con sede a Due Carrare (PD), Via Piemonte, 13 - Cap. 35020  P.IVA/C.F. 00195980289, dell'acquisto di materiale di consumo per i laboratori didattici del  Dipartimento di Scienze e Tecnologia , che graver√† sul fondo relativo al progetto PLS  BIOLOGIA, di cui √® titolare la Prof.ssa Maria Moreno.</t>
  </si>
  <si>
    <t>00195980289-Artiglass srl</t>
  </si>
  <si>
    <t>3205.0</t>
  </si>
  <si>
    <t>inizio 29/06/2021, ultimazione 23/09/2021</t>
  </si>
  <si>
    <t>Affidamento diretto ex art. 36, comma 2, lett. a) del D. Lgs. 50/2016, alla Societ√† CONSUL S.r.l., con sede a Napoli (Na), Via Posillipo, n.316 - Cap. 80123  P.IVA 06768650639 , per l'acquisto di attrezzature tecnico-scientifiche per i laboratori del Dipartimento di Scienze e Tecnologie, relativo al Progetto Genomaesalute, di cui √® responsabile scientifico il  Prof. Michele Ceccarelli</t>
  </si>
  <si>
    <t>10377.85</t>
  </si>
  <si>
    <t>inizio 29/06/2021</t>
  </si>
  <si>
    <t xml:space="preserve">Affidamento diretto ex art. 36, comma 2, lett. a) del D. Lgs. 50/2016, alla  per lacquisto di materiale di consumo per il laboratorio di Biochimica  presso il Dipartimento di Scienze e Tecnologia, relativo al progetto FRA15ZULLO, di cui √® responsabile scientifico il Prof. Alberto Zullo. </t>
  </si>
  <si>
    <t>160.84</t>
  </si>
  <si>
    <t>inizio 28/06/2021, ultimazione 27/07/2021</t>
  </si>
  <si>
    <t xml:space="preserve">Determina di affidamento diretto di Materiale Informatico Vario, tramite Accordo Quadro stipulato dallAteneo, ad esito di R.D.O. sul M.E.P.A. (Decreto Direttoriale del 02 marzo 2021, n. 239), con il fornitore Mods Art S.r.l.,, per esigenze di ricerca e didattica del Dipartimento di Ingegneria, ai sensi dell'art. 36, co 2, lett. a) del D.Lgs. 50/2016 </t>
  </si>
  <si>
    <t>1036.68</t>
  </si>
  <si>
    <t>inizio 25/06/2021, ultimazione 08/11/2021</t>
  </si>
  <si>
    <t>Affidamento diretto ex art. 36, comma 2, lett. a) del D. Lgs. 50/2016, alla Societ√† ASSING S.p.A., con sede a Monterotondo (RM), Via E. Amaldi, 14  - Cap. 00015  P.IVA 01603091008,  per l'acquisto di attrezzature tecnico-scientifiche per i laboratori del Dipartimento di Scienze e Tecnologie ad uso del Corso di Dottorato di ricerca in Scienze e tecnologie per l'ambiente e la salute.</t>
  </si>
  <si>
    <t>06725640582-ASSING S.p.A.</t>
  </si>
  <si>
    <t>13000.0</t>
  </si>
  <si>
    <t>12900.0</t>
  </si>
  <si>
    <t>Affidamento diretto ex art. 36, comma 2, lett. a) del D. Lgs. 50/2016, alla Societ√† THERMO FISHER SCIENTIFIC S.p.A. con sede a Rodano (MI) in Via Strada Rivoltana Km 4  Cap 20090 P.IVA/C.F. 07817950152, dell'acquisto di materiale di consumo per i laboratori didattici del  Dipartimento di Scienze e Tecnologia , che graver√† sul fondo relativo al progetto Funzionamento Laboratori, di cui √® titolare la Prof.ssa Maria Moreno.</t>
  </si>
  <si>
    <t>07817950152-THERMO FISHER SCIENITIFIC</t>
  </si>
  <si>
    <t>476.0</t>
  </si>
  <si>
    <t>inizio 25/06/2021, ultimazione 03/09/2021</t>
  </si>
  <si>
    <t>Affidamento diretto ex art. 36, comma 2, lett. a) del D. Lgs. 50/2016, alla Societ√† QIAGEN S.r.l. con sede a Milano (MI), Via F. Sassetti, n.16 - Cap. 20124  P.IVA/C.F. 13110270157 dellacquisto di materiale di consumo per i laboratori didattici del  Dipartimento di Scienze e Tecnologia  che graver√† sul fondo relativo al progetto PLS  BIOLOGIA, di cui √® titolare la Prof.ssa Maria Moreno.</t>
  </si>
  <si>
    <t>1020.0</t>
  </si>
  <si>
    <t>inizio 25/06/2021, ultimazione 17/09/2021</t>
  </si>
  <si>
    <t>Materiale per laboratorio di biologia molecolare_DST_ prof.ssa Sabatino</t>
  </si>
  <si>
    <t>10767630154-EPPENDORF SRL</t>
  </si>
  <si>
    <t>2170.0</t>
  </si>
  <si>
    <t>inizio 25/06/2021, ultimazione 30/07/2021</t>
  </si>
  <si>
    <t xml:space="preserve">Ebooks (267) + Italian Collection Matematica, Statistica, Fisica e Scienze Naturali per utilizzo nella Didattica Avanzata nell'ambito del progetto DIP.ECCELLENZA </t>
  </si>
  <si>
    <t xml:space="preserve">1111111-Springer Nature </t>
  </si>
  <si>
    <t>inizio 25/06/2021, ultimazione 10/08/2021</t>
  </si>
  <si>
    <t>LAPTOP MSI GE66 Raider 11UH-061I_prestazioni elevate DOTTXXXIVCICLO Gigante</t>
  </si>
  <si>
    <t>3194.0</t>
  </si>
  <si>
    <t>Affidamento diretto ex art. 36, comma 2, lett. a) del D. Lgs. 50/2016, alla Societ√† BIO-RAD LABORATORIES S.r.l., con sede a Segrate (MI), Via Cellini, n.18/A  - Cap. 20090  P.IVA 00801720152,per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</si>
  <si>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1108.9</t>
  </si>
  <si>
    <t>inizio 25/06/2021, ultimazione 23/09/2021</t>
  </si>
  <si>
    <t>Affidamento diretto ex art. 36, comma 2, lett. a) del D. Lgs. 50/2016, alla Societ√† BIOCLINICAL FORNITURE  S.a.s. con sede a Napoli (Na) in Via San Giacomo dei Capri, 125  Cap 80131 P.IVA/C.F. 03179910637, del servizio di riparazione pompa da vuoto per liofilizzatore per i laboratori didattici del  Dipartimento di Scienze e Tecnologia che graver√† sul fondo relativo al progetto Manutenzione Ordinaria Attrezzature, di cui √® titolare la Prof.ssa Maria Moreno.</t>
  </si>
  <si>
    <t>3500.0</t>
  </si>
  <si>
    <t>inizio 25/06/2021</t>
  </si>
  <si>
    <t>Affidamento diretto ex art. 36, comma 2, lett. a) del D. Lgs. 50/2016, alla Societ√† DBA ITALIA S.r.l., con sede a Segrate (MI), Via Umbria,10  - Cap. 20054  P.IVA 07484470153,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</si>
  <si>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inizio 25/06/2021, ultimazione 05/08/2021</t>
  </si>
  <si>
    <t xml:space="preserve">Affidamento diretto, ex art. 36, comma 2, lett.a), del D. Lgs. 50/2016, per lacquisto di materiale per laboratorio, per esigenze di ricerca del Dipartimento di Scienze e Tecnologie, alla SARSTEDT SRL, Via Leonardo Da Vinci, 97- Trezzano sul Naviglio (MI) cap. 20090 </t>
  </si>
  <si>
    <t>353.32</t>
  </si>
  <si>
    <t>inizio 25/06/2021, ultimazione 22/07/2021</t>
  </si>
  <si>
    <t>Affidamento diretto ex art. 36, comma 2, lett. a) del D. Lgs. 50/2016, alla Societ√† PRODOTTI GIANNI S.r.l., con sede a Milano (MI), Via M.F.Quintiliano,30 - Cap. 20138  C.F./P.IVA 08860270969, per l'acquisto di materiale di consumo per il laboratorio di Biologia Molecolare presso il Dipartimento di Scienze e Tecnologia, relativo al progetto NEON Nanofotonica per nuovi approcci diagnostici e terapeutici in Oncologia e Neurologia, di cui √® responsabile scientifico la Prof.ssa Lina Sabatino.</t>
  </si>
  <si>
    <t>6500.0</t>
  </si>
  <si>
    <t>inizio 25/06/2021, ultimazione 12/10/2021</t>
  </si>
  <si>
    <t>Pubblicazione Open Access articolo scientifico gruppo informatica - Prof. Zimeo</t>
  </si>
  <si>
    <t>1345.0</t>
  </si>
  <si>
    <t>inizio 24/06/2021, ultimazione 31/07/2021</t>
  </si>
  <si>
    <t>Servizio di intermediazione con l'artista Toni Servillo per la partecipazione al BCT edizione 2021</t>
  </si>
  <si>
    <t>09555911214-Associazione Culturale Agenzia Teatri</t>
  </si>
  <si>
    <t>inizio 22/06/2021, ultimazione 22/06/2021</t>
  </si>
  <si>
    <t>Servizio di supporto tecnico specialistico (on-site/da remoto) all'uso della piattaforma di e-procurement dell'Ateneo, per 3 giorni/mese per 24 mesi.</t>
  </si>
  <si>
    <t>06188330150-Maggioli Spa</t>
  </si>
  <si>
    <t>23760.0</t>
  </si>
  <si>
    <t>inizio 21/06/2021, ultimazione 21/06/2023</t>
  </si>
  <si>
    <t>OPAL-RT Technologies Real Time Simulation System DIPECCELLENZA _ Proff. Villacci, Vaccaro</t>
  </si>
  <si>
    <t>07707700014-AMET SRL</t>
  </si>
  <si>
    <t>37930.0</t>
  </si>
  <si>
    <t>inizio 21/06/2021</t>
  </si>
  <si>
    <t>Tavoletta vibrante_utilizzo didattica avanzata nell'ambito del progetto DIP.ECCELLENZA_Prof.ssa Monaco</t>
  </si>
  <si>
    <t>02859230167-Trio Sistemi e Misure srl</t>
  </si>
  <si>
    <t>18000.0</t>
  </si>
  <si>
    <t>inizio 19/06/2021, ultimazione 25/06/2021</t>
  </si>
  <si>
    <t>Affidamento diretto ex art. 36, comma 2, lett. a) del D. Lgs. 50/2016, alla Societ√† CONSUL S.r.l., con sede a Napoli (Na), Via Posillipo, n.316 - Cap. 80123  P.IVA 06768650639 per un , per l'acquisto di attrezzature tecnico-scientifiche per i laboratori del Dipartimento di Scienze e Tecnologie, relativo al Progetto Genomaesalute, di cui √® responsabile scientifico il  Prof. Michele Ceccarelli</t>
  </si>
  <si>
    <t>5300.0</t>
  </si>
  <si>
    <t>inizio 18/06/2021, ultimazione 08/11/2021</t>
  </si>
  <si>
    <t>Affidamento diretto, ex art. 36, comma 2, lett.a), del D. Lgs. 50/2016,  per un importo pari ad euro 5.337,00 oltre IVA al 22%, per lacquisto di attrezzatura informatica per esigenze di ricerca e didattica ,  dei Professori: Senatore Maria Rosaria, De Matteis Raffaella, Maresca Rosalba, Amore Filomena, Cerulo Luigi e Cicchella Domenico,  del Dipartimento di Ingegneria, mediante Trattativa Diretta (T.D.) del Mercato Elettronico della Pubblica Amministrazione - MEPA.</t>
  </si>
  <si>
    <t>04427081007-ECO LASER INFORMATICA SRL</t>
  </si>
  <si>
    <t>5047.0</t>
  </si>
  <si>
    <t>inizio 18/06/2021, ultimazione 31/12/2021</t>
  </si>
  <si>
    <t>290.0</t>
  </si>
  <si>
    <t>1304.25</t>
  </si>
  <si>
    <t>inizio 14/06/2021, ultimazione 14/10/2021</t>
  </si>
  <si>
    <t>Affidamento diretto ex art. 36, comma 2, lett. a) del D. Lgs. 50/2016, alla Societ√† CONSUL S.r.l., con sede a Napoli (Na), Via Posillipo, n.316 - Cap. 80123  P.IVA 06768650639,per l'acquisto di attrezzature tecnico-scientifiche per i laboratori del Dipartimento di Scienze e Tecnologie, relativo al Progetto Genomaesalute, di cui √® responsabile scientifico il  Prof. Michele Ceccarelli.</t>
  </si>
  <si>
    <t>1580.0</t>
  </si>
  <si>
    <t>inizio 14/06/2021, ultimazione 15/11/2021</t>
  </si>
  <si>
    <t>Affidamento diretto ex art. 36, comma 2, lett. a) del D. Lgs. 50/2016, alla Societ√† ANALYTICAL CONTROL DE MORI S.R.L., con sede a Milano (MI), Via Dante, 4 - Cap. 20121  P.IVA 05908410961, per l'acquisto di attrezzature tecnico-scientifiche necessari ai laboratori del Dipartimento di Scienze e Tecnologie, relativo al Progetto Genomaesalute, di cui √® responsabile scientifico il  Prof. Michele Ceccarelli.</t>
  </si>
  <si>
    <t>05908410961-ANALYTICAL CONTROL DE MORI SRL CON SOCIO UNICO</t>
  </si>
  <si>
    <t>8400.0</t>
  </si>
  <si>
    <t>inizio 14/06/2021, ultimazione 05/08/2021</t>
  </si>
  <si>
    <t>Affidamento diretto ex art. 36, comma 2, lett. a) del D. Lgs. 50/2016, alla Societ√† BIO-RAD LABORATORIES S.r.l., con sede a Segrate (MI), Via Cellini, n.18/A  - Cap. 20090  P.IVA 00801720152,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</si>
  <si>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1365.38</t>
  </si>
  <si>
    <t>inizio 14/06/2021, ultimazione 08/07/2021</t>
  </si>
  <si>
    <t>1335.38</t>
  </si>
  <si>
    <t>Materiale laboratorio Fisiologia Genetica presso il Dipartimento di Scienze e Tecnologie_Progetto Inbiomed</t>
  </si>
  <si>
    <t>4863.0</t>
  </si>
  <si>
    <t>inizio 11/06/2021, ultimazione 10/08/2021</t>
  </si>
  <si>
    <t>Fornitura di timbro per finalit√† legate al progetto NEON ARS01- resp. Prof. Andrea Cusano</t>
  </si>
  <si>
    <t>01462840628-TIPOGRAFIA CAPOBIANCO VINCENZO</t>
  </si>
  <si>
    <t>25.0</t>
  </si>
  <si>
    <t>inizio 10/06/2021, ultimazione 30/06/2021</t>
  </si>
  <si>
    <t xml:space="preserve">Affidamento diretto, ex art. 36, comma 2, lett.a), del D. Lgs. 50/2016 per lacquisto di LT LV-MT10200 - Essiccatore automatico a 10 posizioni Multivap 10 mod. MultiVap MV10 LABTECH per esigenze del Progetto Genomaesalute (Responsabile Scientifico: Prof. Michele Ceccarelli), presso il Dipartimento di Scienze e Tecnologie.  </t>
  </si>
  <si>
    <t>01758800161-FKV SRL</t>
  </si>
  <si>
    <t>14017.5</t>
  </si>
  <si>
    <t>inizio 08/06/2021, ultimazione 07/07/2021</t>
  </si>
  <si>
    <t>Determina di affidamento diretto di Servizi di Editing e Traduzione Specialistica  a marchio Enago tramite Convenzione Quadro stipulata dall'Ateneo in data 3 maggio 2021  con la societ√† Crimson Interactive Inc. con sede in Dover, Delaware (USA)   per esigenze di ricerca e didattica del Dipartimento di Scienze e Tecnologie, ai sensi dell'art. 36, co 2, lett. a) del D.Lgs. 50/2016.</t>
  </si>
  <si>
    <t xml:space="preserve">1111111-CRIMSON INTERACTIVE INC. </t>
  </si>
  <si>
    <t>958.45</t>
  </si>
  <si>
    <t>inizio 08/06/2021, ultimazione 10/08/2021</t>
  </si>
  <si>
    <t>Affidamento diretto, ex art. 36, comma 2, lett.a), del D. Lgs. 50/2016, per un importo pari ad euro 552,00 + IVA al 22%, per lacquisto di Gas tecnici , per esigenze dei laboratori del Dipartimento di Scienze e Tecnologie, mediante ordine diretto di acquisto com da accordo quadro</t>
  </si>
  <si>
    <t>552.0</t>
  </si>
  <si>
    <t>inizio 08/06/2021, ultimazione 31/12/2021</t>
  </si>
  <si>
    <t>Notebook Precision 3640MT</t>
  </si>
  <si>
    <t xml:space="preserve">02853350649-COMPUTER SOLUTION SRL </t>
  </si>
  <si>
    <t>2132.0</t>
  </si>
  <si>
    <t>Partecipazione di tre unit√† aggiuntive rispetto alle cinque unit√† la cui quota di partecipazione √® gratuita, in quanto compresa nell'abbonamento annuale, al 1¬∞ Corso Segreterie 2.1 organizzato dal COINFO</t>
  </si>
  <si>
    <t xml:space="preserve">97556790018-COINFO </t>
  </si>
  <si>
    <t>inizio 07/06/2021, ultimazione 07/06/2021</t>
  </si>
  <si>
    <t>Reagenti per Laboratorio Biologia Molecolare _prof.ssa Sabatino</t>
  </si>
  <si>
    <t>inizio 07/06/2021, ultimazione 10/08/2021</t>
  </si>
  <si>
    <t>Affidamento diretto ex art. 36, comma 2, lett. a) del D. Lgs. 50/2016, alla Societ√† EPPENDORF S.r.l., con sede a Milano (MI), Via Zante ,14  - Cap. 20138  P.IVA 10767630154  per l'acquisto di attrezzature tecnico-scientifiche per i laboratori  del Dipartimento di Scienze e Tecnologie, relativi  al progetto  Genomaesalute, di cui √® responsabile scientifico il  Prof. Michele Ceccarelli.</t>
  </si>
  <si>
    <t>8366.75</t>
  </si>
  <si>
    <t>inizio 07/06/2021, ultimazione 23/09/2021</t>
  </si>
  <si>
    <t>Affidamento diretto, ex art. 36, comma 2, lett.a), del D. Lgs. 50/2016, per un importo pari ad euro 37.157,00 + IVA al 22%, per acquisto di una camera ad altissima sensibilit√† CHEMIDOC IMAGING INSTRUMENT,  per lacquisizione e analisi di immagine di pattern elettroforetici in chemiluminescenza, fluorescenza e in transilluminazione in luce UV. del Dipartimento di Scienze e Tecnologie  Prof. Michele Ceccarelli</t>
  </si>
  <si>
    <t>37157.9</t>
  </si>
  <si>
    <t>inizio 07/06/2021, ultimazione 06/07/2021</t>
  </si>
  <si>
    <t xml:space="preserve">Affidamento diretto, ex art. 36, comma 2, lett.a), del D. Lgs. 50/2016, per un importo pari ad euro 2.498,40 oltre IVA al 22%, per lacquisto di materiale per laboratorio, per esigenze di ricerca del Dipartimento di Scienze e Tecnologie Prof. Pasquale Vito </t>
  </si>
  <si>
    <t>1793.84</t>
  </si>
  <si>
    <t>1793.94</t>
  </si>
  <si>
    <t>Manutenzione e aggiornamento Software Artemis Modal Pro_ Laboratorio Strutture Composte_ Ordien Mepa</t>
  </si>
  <si>
    <t>03683000271-OMNIDEA SRL</t>
  </si>
  <si>
    <t>1825.0</t>
  </si>
  <si>
    <t>inizio 04/06/2021, ultimazione 30/10/2021</t>
  </si>
  <si>
    <t>Affidamento diretto ex art. 36, comma 2, lett. a) del D. Lgs. 50/2016, alla Societ√† AUROGENE S.r.l., con sede a Roma (RM), Via dei Lucani, n.51-53-55 - Cap. 00185  P.IVA 10926691006, per l'acquisto di attrezzature tecnico-scientifiche per i laboratori  del Dipartimento di Scienze e Tecnologie, relativi  al progetto  Genomaesalute, di cui √® responsabile scientifico il  Prof. Michele Ceccarelli.</t>
  </si>
  <si>
    <t>1984.0</t>
  </si>
  <si>
    <t>inizio 04/06/2021, ultimazione 05/08/2021</t>
  </si>
  <si>
    <t>Affidamento diretto ex art. 36, comma 2, lett. a) del D. Lgs. 50/2016, alla Societ√† BIO-RAD LABORATORIES S.r.l., con sede a Segrate (MI), Via Cellini, n.18/A  - Cap. 20090  P.IVA 00801720152 , per l'acquisto di attrezzature tecnico-scientifiche per i laboratori  del Dipartimento di Scienze e Tecnologie, relativi  al progetto  Genomaesalute, di cui √® responsabile scientifico il  Prof. Michele Ceccarelli.</t>
  </si>
  <si>
    <t>7058.56</t>
  </si>
  <si>
    <t>inizio 04/06/2021, ultimazione 15/12/2021</t>
  </si>
  <si>
    <t>Affidamento diretto ex art. 36, comma 2, lett. a) del D. Lgs. 50/2016, alla Societ√† CONSUL S.r.l., con sede a Napoli (Na), Via Posillipo, n.316 - Cap. 80123  P.IVA 06768650639  per l'acquisto di attrezzature tecnico-scientifiche per i laboratori del Dipartimento di Scienze e Tecnologie, relativo al Progetto Genomaesalute, di cui √® responsabile scientifico il  Prof. Michele Ceccarelli.</t>
  </si>
  <si>
    <t>11980.0</t>
  </si>
  <si>
    <t>inizio 04/06/2021, ultimazione 15/11/2021</t>
  </si>
  <si>
    <t>Materiale per laboratorio di biologia animale e risorse alimentari</t>
  </si>
  <si>
    <t>620.0</t>
  </si>
  <si>
    <t>inizio 03/06/2021, ultimazione 10/08/2021</t>
  </si>
  <si>
    <t xml:space="preserve">Materiale per laboratorio Biologia Molecolare DST- prof.ssa Sabatino </t>
  </si>
  <si>
    <t>Reagenti per laboratorio di Biomedica</t>
  </si>
  <si>
    <t>2506.0</t>
  </si>
  <si>
    <t>inizio 01/06/2021, ultimazione 31/08/2021</t>
  </si>
  <si>
    <t>Software n.1 licenze Migration from M71X61826- Multisim Teaching n. 60 licenze Training Credit per il laboratorio Polifunzionale nell'ambito del del progetto Dipartimento di Eccellenza</t>
  </si>
  <si>
    <t>13400.0</t>
  </si>
  <si>
    <t>inizio 31/05/2021, ultimazione 10/08/2021</t>
  </si>
  <si>
    <t>Affidamento diretto ex art. 36, comma 2, lett. a) del D. Lgs. 50/2016, alla Societ√† SARSTEDT  S.r.l., con sede a Trezzano sul Naviglio (MI), Viale Leonardo da Vinci, n.97 - Cap. 20090  P.IVA 02217770235 e C.F. 00695940213 per l'acquisto di materiale di consumo per il laboratorio di Farmacologia - Tossicologia n.64 presso il Dipartimento di Scienze e Tecnologia, relativo al progetto "NeON- Nanofotonica per nuovi approcci diagnostici e terapeutici in Oncologia e Neurologia" di cui √® responsabile scientifico la Prof.ssa Lina Sabatino.</t>
  </si>
  <si>
    <t>5543.2</t>
  </si>
  <si>
    <t>inizio 31/05/2021, ultimazione 22/12/2021</t>
  </si>
  <si>
    <t>3010.0</t>
  </si>
  <si>
    <t xml:space="preserve">Affidamento diretto, ex art. 36, comma 2, lett.a), del D. Lgs. 50/2016, per un importo pari ad euro 470,00 oltre IVA al 22%, per lacquisto di materiale per laboratorio, per esigenze di ricerca del Dipartimento di Scienze e Tecnologie Prof. Angelo Lupo </t>
  </si>
  <si>
    <t>inizio 31/05/2021, ultimazione 30/06/2021</t>
  </si>
  <si>
    <t xml:space="preserve">CONSIP- Convenzione S1 Telefonia Mobile con TIM- Servizio di telefonia bimestre 3 Bimestre 2021 </t>
  </si>
  <si>
    <t>06947890015-TIM  Telecom Italia Mobile SpA</t>
  </si>
  <si>
    <t>81.84</t>
  </si>
  <si>
    <t>inizio 30/05/2021, ultimazione 30/06/2021</t>
  </si>
  <si>
    <t>81.94</t>
  </si>
  <si>
    <t>Plasticheria per il laboratorio di Farmacologia e Tossicologia nell'ambito del progetto NEON - Prof. Canzoniero DST</t>
  </si>
  <si>
    <t>3045.0</t>
  </si>
  <si>
    <t>inizio 28/05/2021, ultimazione 10/08/2021</t>
  </si>
  <si>
    <t xml:space="preserve">Fornitura di materiale grafico e installazioni per la identificazione visiva delle sedi della Universit√† degli Studi del Sannio Palazzo Bosco Lucarelli. </t>
  </si>
  <si>
    <t>07267100639-Giudice S.R.L.</t>
  </si>
  <si>
    <t>3900.0</t>
  </si>
  <si>
    <t>inizio 27/05/2021, ultimazione 03/06/2021</t>
  </si>
  <si>
    <t>Pubblicazione open access su rivista Automatica prof. Francesco Vasca</t>
  </si>
  <si>
    <t>inizio 27/05/2021, ultimazione 02/07/2021</t>
  </si>
  <si>
    <t>materiale di consumo laboratorio di Fisiologia, endocrinologia e metabolismo</t>
  </si>
  <si>
    <t>2987.0</t>
  </si>
  <si>
    <t>inizio 27/05/2021, ultimazione 10/08/2021</t>
  </si>
  <si>
    <t>Adesione al Progetto di Formazione denominato Procedamus 2021, organizzato da LineaPA di Patrizia Isaija</t>
  </si>
  <si>
    <t>SJIPRZ74B64L219G-LineaPA di Patrizia Isaija</t>
  </si>
  <si>
    <t>inizio 26/05/2021, ultimazione 26/05/2021</t>
  </si>
  <si>
    <t>Licenza Wolffram Mathematica- Manutenzione Premier Service 3 anni</t>
  </si>
  <si>
    <t>01408650511-Adalta Snc di Fazzi e Marcantoni</t>
  </si>
  <si>
    <t>1714.0</t>
  </si>
  <si>
    <t>inizio 25/05/2021, ultimazione 10/08/2021</t>
  </si>
  <si>
    <t>Fornitura di toghe per gli studenti partecipanti al Graudation day 2021</t>
  </si>
  <si>
    <t>2150.0</t>
  </si>
  <si>
    <t>inizio 25/05/2021, ultimazione 01/07/2021</t>
  </si>
  <si>
    <t>Mathematica Standard Edition _ proff. A.Feoli V.Galdi</t>
  </si>
  <si>
    <t>Adesione al Progetto di Formazione Segreterie 2.1 - Coinfo</t>
  </si>
  <si>
    <t>2800.0</t>
  </si>
  <si>
    <t>inizio 25/05/2021, ultimazione 25/05/2021</t>
  </si>
  <si>
    <t>Corso Passweb, organizzato dal Pubbliformez</t>
  </si>
  <si>
    <t>03635090875-PUBBLIFORMEZ</t>
  </si>
  <si>
    <t>460.0</t>
  </si>
  <si>
    <t>inizio 21/05/2021, ultimazione 21/05/2021</t>
  </si>
  <si>
    <t>Reagenti per laboratorio Farmacologia-Tossicologia per attivit√† di ricerca Progetto NEON</t>
  </si>
  <si>
    <t>3842.0</t>
  </si>
  <si>
    <t>inizio 21/05/2021, ultimazione 10/08/2021</t>
  </si>
  <si>
    <t>Riparazione plotterHo Designjet 800 in dotazione al laboratorio informatico del Dipartimento di Ingegneria</t>
  </si>
  <si>
    <t>362.0</t>
  </si>
  <si>
    <t>inizio 21/05/2021, ultimazione 31/05/2021</t>
  </si>
  <si>
    <t xml:space="preserve">Determina di affidamento diretto di Materiale Informatico, tramite Accordo Quadro stipulato dall'Ateneo, ad esito di R.D.O. sul M.E.P.A. (Decreto Direttoriale del 02 marzo 2021, n. 239), con il fornitore Mods Art S.r.l.,, per esigenze di ricerca e didattica del Dipartimento di Diritto, Economia, Management e Metodi Quantitativi, ai sensi dell'art. 36, co 2, lett. a) del D.Lgs. 50/2016 </t>
  </si>
  <si>
    <t>158.42</t>
  </si>
  <si>
    <t>inizio 21/05/2021, ultimazione 30/09/2021</t>
  </si>
  <si>
    <t>Analisi isotopiche argon-argon di campioni di paleosuoli finalizzate alla loro datazione. Il servizio richiesto risulta fondamentale nello studio dell'evoluzione morfologica del bacino del fiume Calore_DST</t>
  </si>
  <si>
    <t xml:space="preserve">000000000-Laboratoire des Sciences du Climat et de LEnvironnement CEA Saclay, </t>
  </si>
  <si>
    <t>2190.0</t>
  </si>
  <si>
    <t>inizio 20/05/2021, ultimazione 10/08/2021</t>
  </si>
  <si>
    <t xml:space="preserve">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Ingegneria, nell'ambito del Progetto Dipartimento di Eccellenza ai sensi dell'art. 36, co 2, lett. a) del D.Lgs. 50/2016 </t>
  </si>
  <si>
    <t>1337.46</t>
  </si>
  <si>
    <t>inizio 19/05/2021, ultimazione 30/09/2021</t>
  </si>
  <si>
    <t>Affidamento diretto ex art. 36, comma 2, lett. a) del D. Lgs. 50/2016, alla Societ√† Il Segno dei Gabrielli Editori di Gabrielli Lucia &amp; C. snc   con sede a San Pietro in Cariano (VR)  37029 - Via Cengia 67, C.F./P.Iva 00802930230 , per la pubblicazione del volume dal titolo"La fratellanza e l'amicizia sociale in Francesco: Fratelli Tutti"  della Prof.ssa Monica Simeoni.</t>
  </si>
  <si>
    <t xml:space="preserve">00802930230-Il Segno dei Gabrielli Editori di Gabrielli Lucia &amp; C. Snc </t>
  </si>
  <si>
    <t>1360.0</t>
  </si>
  <si>
    <t>Pubblicit√† legale - avviso di esito sulla Gazzetta Ufficiale della Repubblica Italiana</t>
  </si>
  <si>
    <t>00399810589-Istituto Poligrafico e Zecca dello Stato s.p.a.</t>
  </si>
  <si>
    <t>535.9</t>
  </si>
  <si>
    <t>inizio 19/05/2021, ultimazione 19/05/2021</t>
  </si>
  <si>
    <t>upgrade software TRNSYS 18 DIPECCELLENZA _ Prof. Sasso</t>
  </si>
  <si>
    <t>999999998-Thermal Energy System Specialists</t>
  </si>
  <si>
    <t>inizio 17/05/2021, ultimazione 10/08/2021</t>
  </si>
  <si>
    <t>Determina di affidamento ad esito di trattativa diretta n. 1689029 sul Mercato Elettronico della Pubblica Amministrazione (MEPA), alla Societ√† VWR INTERNATIONAL S.R.L. con sede a Milano (MI) in Via San Giusto n. 85 - Cap. 20153  C.F./P.Iva n.12864800151,  per l'acquisto di materiale di consumo per il laboratorio di Genetica presso il  Dipartimento di Scienze e Tecnologie, relativo al progetto" Inbiomed -Prodotti Innovativi ad alto contenuto biotecnologico per il settore medicale", di cui √® responsabile scientifico il Prof. Pasquale Vito.</t>
  </si>
  <si>
    <t>2392.64</t>
  </si>
  <si>
    <t>inizio 17/05/2021, ultimazione 19/10/2021</t>
  </si>
  <si>
    <t>Software Homer pr 10 seat academic Dip Eccellenza _prof.Sasso</t>
  </si>
  <si>
    <t xml:space="preserve">99999999999-Homer Energy </t>
  </si>
  <si>
    <t>Software Design Builder "pacchetto ingegneristico pro" _Dipartimento di Eccellenza_ prof.ssa De Masi</t>
  </si>
  <si>
    <t>01206410324-SGM ARCHITECTURE SRL</t>
  </si>
  <si>
    <t>4999.0</t>
  </si>
  <si>
    <t>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Scienze e Tecnologie, ai sensi dell'art. 36, co 2, lett. a) del D.Lgs. 50/2016 di  9.417,91</t>
  </si>
  <si>
    <t>9417.91</t>
  </si>
  <si>
    <t>inizio 17/05/2021, ultimazione 30/09/2021</t>
  </si>
  <si>
    <t>7256.81</t>
  </si>
  <si>
    <t xml:space="preserve">Stampe in grande formato e speciali </t>
  </si>
  <si>
    <t>inizio 14/05/2021, ultimazione 22/11/2021</t>
  </si>
  <si>
    <t xml:space="preserve">Fornitura di Dispositivi di Protezione Individuali consistenti in mascherine filtranti FFP2 MASCHERINA PROTETTIVA Senza VALVOLA _CE2834 per garantire la fruizione in sicurezza dei locali dellAteneo a seguito dellemergenza Covid 19. </t>
  </si>
  <si>
    <t>01952150264-Proced srl</t>
  </si>
  <si>
    <t>1145.0</t>
  </si>
  <si>
    <t>inizio 14/05/2021, ultimazione 01/06/2021</t>
  </si>
  <si>
    <t>Affidamento diretto, ex art. 36, comma 2, lett.a), del D. Lgs. 50/2016, per l'acquisto di materiale per laboratorio, per esigenze di ricerca del Dipartimento di Scienze e Tecnologie Prof. Pasquale Vito</t>
  </si>
  <si>
    <t>3004.72</t>
  </si>
  <si>
    <t>inizio 12/05/2021, ultimazione 11/06/2021</t>
  </si>
  <si>
    <t xml:space="preserve">Preparazione e deposito in Italia di una domanda di brevetto per invenzione industriale relativa a Tecnica di rilevazione di interferenze del segnale di sincronizzazione temporale in ingresso a dispositivi di misura di sincrofasori nei sistemi elettrici di potenza.  </t>
  </si>
  <si>
    <t>06589950010-STUDIO TORTA</t>
  </si>
  <si>
    <t>2049.18</t>
  </si>
  <si>
    <t>inizio 12/05/2021, ultimazione 02/11/2021</t>
  </si>
  <si>
    <t>Affidamento diretto, ex art. 36, comma 2, lett.a), del D. Lgs. 50/2016, per lacquisto di materiale per laboratorio, per esigenze di ricerca della Prof.ssa SABATINO LINA</t>
  </si>
  <si>
    <t>3876.92</t>
  </si>
  <si>
    <t>inizio 12/05/2021, ultimazione 31/12/2021</t>
  </si>
  <si>
    <t>Servizi pubblicitari per promuovere l'Offerta Formativa a.a. 2021/2022 della Universit√† degli Studi del Sannio  - Il SOLE 24 ORE</t>
  </si>
  <si>
    <t>02414280343-B-Side Comminucation s.r.l.</t>
  </si>
  <si>
    <t>inizio 12/05/2021, ultimazione 07/06/2021</t>
  </si>
  <si>
    <t xml:space="preserve">Servizio di Rassegna Stampa e Media Monitoring per le esigenze dellUniversit√† degli Studi del Sannio per la durata di 36 mesi </t>
  </si>
  <si>
    <t>06862080154-L'Eco della Stampa</t>
  </si>
  <si>
    <t>inizio 12/05/2021, ultimazione 12/05/2024</t>
  </si>
  <si>
    <t>4000.0</t>
  </si>
  <si>
    <t>Affidamento diretto, ex art. 36, comma 2, lett.a), del D. Lgs. 50/2016, per lacquisto di materiale per laboratorio, per esigenze di ricerca del Dipartimento di Scienze e Tecnologie Prof. Carmine Guarino</t>
  </si>
  <si>
    <t>444.53</t>
  </si>
  <si>
    <t>Affidamento diretto ex art. 36, comma 2, lett. a) del D. Lgs. 50/2016, per lacquisizione di materiale informatico di laboratorio per esigenze del prof. Daponte Pasquale del  Dipartimento di Ingegneria, mediante trattativa diretta n. 1693611 sulla Piattaforma del Mercato Elettronico della Pubblica Amministrazione  - MEPA</t>
  </si>
  <si>
    <t>10578740150-RS COMPONENTS srl</t>
  </si>
  <si>
    <t>355.0</t>
  </si>
  <si>
    <t>Analizzatore termogravimetrico (TGA) con calorimetria _prof. Pepe</t>
  </si>
  <si>
    <t xml:space="preserve">00718330152-METTLER TOLEDO </t>
  </si>
  <si>
    <t>40000.0</t>
  </si>
  <si>
    <t>inizio 12/05/2021</t>
  </si>
  <si>
    <t>Oneri pubblicazione articolo scientifico - Prof.ssa Carmela Galdi</t>
  </si>
  <si>
    <t>inizio 11/05/2021, ultimazione 10/08/2021</t>
  </si>
  <si>
    <t>Affidamento diretto ex art. 36, comma 2, lett. a) del D. Lgs. 50/2016,per un importo pari ad  216,20 escluso Iva 22%,  per l'acquisto di materiale di consumo per il laboratorio di Ecologia presso il Dipartimento di Scienze e Tecnologia, relativo al progetto FRA_2017_DeNicola, di cui √® responsabile scientifico la  Prof.ssa Flavia De Nicola.</t>
  </si>
  <si>
    <t>216.2</t>
  </si>
  <si>
    <t>inizio 11/05/2021, ultimazione 30/08/2021</t>
  </si>
  <si>
    <t>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Diritto, Economia, Management e Metodi Quantitativi, ai sensi dell'art. 36, co 2, lett. a) del D.Lgs. 50/2016 e s.m.i., di Euro 2.116,44 oltre Iva</t>
  </si>
  <si>
    <t>2116.44</t>
  </si>
  <si>
    <t>inizio 11/05/2021, ultimazione 22/09/2021</t>
  </si>
  <si>
    <t>Servizi pubblicitari per promuovere l'Offerta Formativa a.a. 2021/2022 dell'Universit√† degli Studi del Sannio su mezzi di comunicazione di massa</t>
  </si>
  <si>
    <t>9456.5</t>
  </si>
  <si>
    <t>inizio 11/05/2021, ultimazione 17/12/2021</t>
  </si>
  <si>
    <t xml:space="preserve">Affidamento diretto ex art. 36, comma 2, lett. a) del D. Lgs. 50/2016,lacquisto di materiale di consumo per il laboratorio di Farmacologia-Tossicologia n.64 presso il Dipartimento di Scienze e Tecnologia, relativo al progetto NEON -Nanofotonica per nuovi approcci diagnostici e terapeutici in Oncologia e Neurologia,di cui √® responsabile scientifico la Prof.ssa Lorella Maria Teresa Canzoniero.  </t>
  </si>
  <si>
    <t>2558.0</t>
  </si>
  <si>
    <t>inizio 10/05/2021, ultimazione 22/09/2021</t>
  </si>
  <si>
    <t>Affidamento diretto ex art. 36, comma 2, lett. a) del D. Lgs. 50/2016, per l'acquisto di materiale di consumo per il laboratorio di Fisiologia/Genetica  presso il Dipartimento di Scienze e Tecnologia, relativo al progetto "Inbiomed -Prodotti Innovativi ad alto contenuto biotecnologico per il settore medicale" ,di cui √® responsabile scientifico il Prof. Pasquale Vito</t>
  </si>
  <si>
    <t>1416.89</t>
  </si>
  <si>
    <t>inizio 10/05/2021, ultimazione 20/07/2021</t>
  </si>
  <si>
    <t>Affidamento diretto ex art. 36, comma 2, lett. a) del D. Lgs. 50/2016 per un importo pari ad  3.097,50 escluso Iva 22%, per l'acquisto di materiale di consumo per il laboratorio di Biologia Applicata presso il Dipartimento di Scienze e Tecnologia, relativo al progetto PRIN2017 AMBROSINO,di cui √® responsabile scientifico la  Prof.ssa Concetta Ambrosino.</t>
  </si>
  <si>
    <t>3097.5</t>
  </si>
  <si>
    <t>SOFTWARE SIMAPRO per utilizzo didattica avanzata_dip eccellenza_ Prof. SAVINO</t>
  </si>
  <si>
    <t xml:space="preserve">04495640262-2B SRL </t>
  </si>
  <si>
    <t>2550.0</t>
  </si>
  <si>
    <t>inizio 06/05/2021</t>
  </si>
  <si>
    <t>Fornitura di server e sistema di backup</t>
  </si>
  <si>
    <t>07393280016-Sistemi HS Spa</t>
  </si>
  <si>
    <t>71900.0</t>
  </si>
  <si>
    <t>inizio 06/05/2021, ultimazione 12/11/2021</t>
  </si>
  <si>
    <t>Reattivi per laboratorio prof. Federica Cioffi PRIN 2017</t>
  </si>
  <si>
    <t>1115.0</t>
  </si>
  <si>
    <t>inizio 30/04/2021, ultimazione 31/08/2021</t>
  </si>
  <si>
    <t>Fornitura di materiale di laboratorio per esigenze di ricerca del laboratorio di Biologia Molecolare presso il Dipartimento di Scienze e Tecnologie Sabatino_Nanofotonica</t>
  </si>
  <si>
    <t>1639.34</t>
  </si>
  <si>
    <t>inizio 30/04/2021, ultimazione 31/07/2021</t>
  </si>
  <si>
    <t>Reagenti progetto PRIN 2017_Cioffi</t>
  </si>
  <si>
    <t>3223.5</t>
  </si>
  <si>
    <t>inizio 30/04/2021, ultimazione 31/05/2021</t>
  </si>
  <si>
    <t>Reagente per REAL TIME-PCR per studi di Gene Expression - VITO_INBIOMED_DST</t>
  </si>
  <si>
    <t>Sistema GPS alta precisione per sperimentazione di un innovativo sistema di monitoraggio e allerta a basso costo applicato allo studio di eventi franosi_DOTT.RUZZA 10% dst</t>
  </si>
  <si>
    <t>ESB25850264-ArduSimple</t>
  </si>
  <si>
    <t>870.0</t>
  </si>
  <si>
    <t>inizio 30/04/2021, ultimazione 30/06/2021</t>
  </si>
  <si>
    <t>Materiale per laboratorio prof. Federica Cioffi_PRIN 2017</t>
  </si>
  <si>
    <t>415.0</t>
  </si>
  <si>
    <t>Prototipo per la produzione di energia elettrica mediante PAT da reti di distribuzione idrica</t>
  </si>
  <si>
    <t>06362981216-TEA TEK S.r.l.</t>
  </si>
  <si>
    <t>17700.0</t>
  </si>
  <si>
    <t>inizio 28/04/2021, ultimazione 07/06/2021</t>
  </si>
  <si>
    <t xml:space="preserve">fornitura di n. 2 licenze AutoCAD LT 2021 Commercial New Single-user ELD Annual Subscription </t>
  </si>
  <si>
    <t>12272790150-ONE TEAM SRL</t>
  </si>
  <si>
    <t>880.0</t>
  </si>
  <si>
    <t>inizio 28/04/2021, ultimazione 03/08/2021</t>
  </si>
  <si>
    <t>Affidamento diretto ex art. 36, comma 2, lett. a) del D. Lgs. 50/2016, alla Societ√† Editoriale Scientifica Srl  per la pubblicazione del volume dal titolo" La cultura giuridica del lavoro a mezzo secolo dallo Statuto dei Lavoratori"  del Prof. Gaetano Natullo e della  Prof.ssa Paola Saracini.</t>
  </si>
  <si>
    <t>inizio 28/04/2021, ultimazione 31/12/2021</t>
  </si>
  <si>
    <t xml:space="preserve">Affidamento diretto, ex art. 36, comma 2, lett.a), del D. Lgs. 50/2016, per lacquisto di materiale per laboratorio, per esigenze di ricerca del Dipartimento di Scienze e Tecnologie -  Dr.ssa Stafania IERVOLINO </t>
  </si>
  <si>
    <t>1017.0</t>
  </si>
  <si>
    <t>inizio 28/04/2021, ultimazione 27/05/2021</t>
  </si>
  <si>
    <t>990.0</t>
  </si>
  <si>
    <t>Materiale informatico per laboratorio Ingegneria Civile - n. 2 pc Santech</t>
  </si>
  <si>
    <t>02972950618-SANTECH SRL</t>
  </si>
  <si>
    <t>inizio 27/04/2021, ultimazione 05/05/2021</t>
  </si>
  <si>
    <t>Adesione alla Comunit√† Professionale UniRU 2021 - organizzata dal COINFO</t>
  </si>
  <si>
    <t>inizio 26/04/2021, ultimazione 26/04/2021</t>
  </si>
  <si>
    <t>Affidamento diretto ex art. 36, comma 2, lett. a) del D. Lgs. 50/2016, per lacquisizione di n. 5 Pc Desktop con Monitor, n. 14 Tavolette Grafiche  e materiale informatico vario di laboratorio per esigenze del plesso didattico del Dipartimento DEMM - sede Via delle Puglie, Benevento, mediante trattativa diretta n. 1674863 sulla Piattaforma del Mercato Elettronico della Pubblica Amministrazione  - MEPA</t>
  </si>
  <si>
    <t>01387750621-INFORMATIKA SRL UNIPERSONALE</t>
  </si>
  <si>
    <t>3964.6</t>
  </si>
  <si>
    <t>inizio 26/04/2021, ultimazione 25/05/2021</t>
  </si>
  <si>
    <t>servizi di elettroforesi di frammenti e sintesi di Oligo per esigenze di ricerca del gruppo di Anatomia Comparata presso il Dipartimento di Scienze e Tecnologie</t>
  </si>
  <si>
    <t xml:space="preserve">08736731004-BIO-FAB RESEARCH SRL </t>
  </si>
  <si>
    <t>12495.5</t>
  </si>
  <si>
    <t>inizio 26/04/2021, ultimazione 05/05/2021</t>
  </si>
  <si>
    <t xml:space="preserve">Affidamento diretto, ex art. 36, comma 2, lett.a), del D. Lgs. 50/2016, per un importo pari ad euro 957,91 oltre  IVA al 22%, per lacquisto di materiale per laboratorio, per esigenze di ricerca  del Dipartimento di Scienze e Tecnologie, alla Societ√† LEVANCHIMICA S.R.L in Bari Cap. 70132 alla Via  Tommaso Columbo n. 41 , Cod. Fiscale e P.IVA 03587930722 </t>
  </si>
  <si>
    <t>957.91</t>
  </si>
  <si>
    <t>inizio 26/04/2021, ultimazione 31/12/2021</t>
  </si>
  <si>
    <t>688.66</t>
  </si>
  <si>
    <t>Affidamento diretto, ex art. 36, comma 2, lett.a), del D. Lgs. 50/2016, per un importo pari ad euro 2.420,00 oltre IVA al 22%, per lacquisto di materiale per laboratorio, per esigenze di ricerca  del Dipartimento di Scienze e Tecnologie Prof. Angelo LUPO, alla Societ√† Aurogene S.r.l. . in Roma (RM) Cap. 00185 alla Via Dei Lucani, 51 - P.IVA 0926691005</t>
  </si>
  <si>
    <t>2420.0</t>
  </si>
  <si>
    <t>inizio 23/04/2021, ultimazione 22/05/2021</t>
  </si>
  <si>
    <t>Analisi 12 campioni matrice naturale_Scarano e Guarino</t>
  </si>
  <si>
    <t>97026980793-Universit√† degli Studi di CATANZARO</t>
  </si>
  <si>
    <t>2400.0</t>
  </si>
  <si>
    <t>inizio 23/04/2021, ultimazione 09/08/2021</t>
  </si>
  <si>
    <t>manutenzione citoflorimetro laboratorio DST_prof. Sabatino_NANOCAN</t>
  </si>
  <si>
    <t xml:space="preserve">03557230129-E.M.C2 SRL </t>
  </si>
  <si>
    <t>1071.0</t>
  </si>
  <si>
    <t>Corso di formazione Conto Annuale 2020</t>
  </si>
  <si>
    <t>inizio 23/04/2021, ultimazione 23/04/2021</t>
  </si>
  <si>
    <t>Affidamento diretto per l'organizzazione di un corso di formazione dal titolo "Commissione paritetiche docenti-studenti (CPDS) da svolgersi in modalit√† telematica Aprile 2021.</t>
  </si>
  <si>
    <t>08857861002-PIU' SRL</t>
  </si>
  <si>
    <t>inizio 21/04/2021, ultimazione 23/04/2021</t>
  </si>
  <si>
    <t>Diritti pubblicazione articolo scientifico "MAT-Fly..." -prof. Iannelli</t>
  </si>
  <si>
    <t>inizio 21/04/2021, ultimazione 09/08/2021</t>
  </si>
  <si>
    <t xml:space="preserve">Determina di affidamento diretto di materiale di laboratorio, per esigenze di ricerca e didattica del Dipartimento di Scienze e Tecnologie, ai sensi dell'art. 36, co 2, lett. a) del D.Lgs. 50/2016 PROF. LUPO ANGELO </t>
  </si>
  <si>
    <t>97346290154-LGC Standards S.r.l.</t>
  </si>
  <si>
    <t>703.0</t>
  </si>
  <si>
    <t>inizio 21/04/2021, ultimazione 31/12/2021</t>
  </si>
  <si>
    <t>materiale per laboratorio chimica macromolecolare_prof.ssa Pappalardo</t>
  </si>
  <si>
    <t>1860.0</t>
  </si>
  <si>
    <t>inizio 19/04/2021, ultimazione 09/08/2021</t>
  </si>
  <si>
    <t>servizio di pubblicazione memoria scientifica "Ternary quarter wavelength coatings for gravitational wave detector mirrors: Design optimization via exhaustive search" _ prof. Pierro</t>
  </si>
  <si>
    <t>99999999999-APTARA SciPris</t>
  </si>
  <si>
    <t>2123.0</t>
  </si>
  <si>
    <t>inizio 16/04/2021, ultimazione 06/05/2021</t>
  </si>
  <si>
    <t>Servizi di advanced editing per correzione bozza- prof. Ciro del Vecchio</t>
  </si>
  <si>
    <t xml:space="preserve">99999999999-Cactus Communications Services </t>
  </si>
  <si>
    <t>369.13</t>
  </si>
  <si>
    <t>inizio 15/04/2021, ultimazione 09/08/2021</t>
  </si>
  <si>
    <t>Affidamento diretto di attrezzature informatiche tramite Accordo Quadro stipulato con il fornitore AM Informatica di Monaco Armando per esigenze di ricerca e didattica del Dipartimento di Diritto, Economia, Management e Metodi Quantitativi ai sensi dell'art. 36, co 2, lett. a) del D.Lgs. 50/2016</t>
  </si>
  <si>
    <t>6022.03</t>
  </si>
  <si>
    <t>inizio 15/04/2021, ultimazione 31/05/2021</t>
  </si>
  <si>
    <t>SOFTWARE PLAXIS 3D per utilizzo didattica avanzata_dip eccellenza_ Prof.ssa SICA</t>
  </si>
  <si>
    <t>8043.13</t>
  </si>
  <si>
    <t>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Scienze e Tecnologie, ai sensi dell'art. 36, co 2, lett. a) del D.Lgs. 50/2016.</t>
  </si>
  <si>
    <t>16641.4</t>
  </si>
  <si>
    <t>inizio 15/04/2021, ultimazione 31/12/2021</t>
  </si>
  <si>
    <t xml:space="preserve">Determina di affidamento diretto di attrezzature informatiche, tramite Accordo Quadro stipulato dallAteneo, ad esito di R.D.O. sul M.E.P.A. (Decreto Direttoriale del 25 febbraio 2021, n. 229), con il fornitore AM Informatica di Monaco Armando, per esigenze di ricerca e didattica del Dipartimento di Scienze e Tecnologie, ai sensi dell'art. 36, co 2, lett. a) del D.Lgs. 50/2016 PROF. CICCHELLA DOMENICO </t>
  </si>
  <si>
    <t>2578.5</t>
  </si>
  <si>
    <t>servizio prodromico consistente nella progettazione grafica e stampa, di un  Pannello finalizzato  allallestimento presso lAuditorium del complesso SantAgostino,  nonch√© di numero  40 pezzi di Eco Box 90LT;</t>
  </si>
  <si>
    <t>inizio 14/04/2021, ultimazione 11/05/2021</t>
  </si>
  <si>
    <t>Affidamento diretto ex art. 36, comma 2, lett. a) del D. Lgs. 50/2016,   alla Societ√†  E.C.S. Srl (European Consulting Solutions) per attivit√† di Somministrazione  di n. 500 questionari per n. 2 scuole della Provincia di Benevento per la rilevazione di informazioni necessarie alla prosecuzione delle attivit√† progettuali nellambito del progetto Edu.Co. (Educativi Comuni/ComuniEducativi), di cui √® responsabile scientifico  il Prof. Biagio Simonetti</t>
  </si>
  <si>
    <t>1147.5</t>
  </si>
  <si>
    <t>inizio 14/04/2021, ultimazione 13/05/2021</t>
  </si>
  <si>
    <t>Corso di Formazione Netval "I programmi per elaborare come prodetto di ricerca: tutela della prorpiet√† intellettuale e trasferimento tecnologico"</t>
  </si>
  <si>
    <t>92053760135-Netval - Network per la Valorizzazione della ricerca Universitaria</t>
  </si>
  <si>
    <t>inizio 14/04/2021, ultimazione 14/04/2021</t>
  </si>
  <si>
    <t>SOFTWARE FLAC3D per utilizzo didattica avanzata_dip eccellenza_ Prof. SIMONELLI</t>
  </si>
  <si>
    <t>09907290150-HARPACEAS</t>
  </si>
  <si>
    <t>9762.0</t>
  </si>
  <si>
    <t>inizio 14/04/2021, ultimazione 03/05/2021</t>
  </si>
  <si>
    <t>Fornitura di Dispositivi di Protezione Individuali consistenti in mascherine filtranti KN95 e mascherine con logo Unisannio riutilizzabili per garantire la fruizione in sicurezza dei locali dellAteneo a seguito dellemergenza Covid 19.</t>
  </si>
  <si>
    <t>01646560621-Global Security Borrelli s.r.l.</t>
  </si>
  <si>
    <t>3350.0</t>
  </si>
  <si>
    <t>inizio 13/04/2021, ultimazione 22/04/2021</t>
  </si>
  <si>
    <t xml:space="preserve">Affidamento diretto ex art. 36, comma 2, lett. a) del D. Lgs. 50/2016 per lassistenza tecnica e la fornitura di Drum per la stampante Minolta C224E,  a servizio del Dipartimento Demm, al secondo piano di palazzo De Simone. </t>
  </si>
  <si>
    <t>14702501009-LOGOS GROUP srl</t>
  </si>
  <si>
    <t>574.75</t>
  </si>
  <si>
    <t>inizio 13/04/2021, ultimazione 22/05/2021</t>
  </si>
  <si>
    <t xml:space="preserve">Acquisizione di servizio per evento Robot Leaugue  </t>
  </si>
  <si>
    <t>08403981213-Paidea</t>
  </si>
  <si>
    <t>2450.0</t>
  </si>
  <si>
    <t>inizio 13/04/2021, ultimazione 16/09/2021</t>
  </si>
  <si>
    <t>1450.0</t>
  </si>
  <si>
    <t>Servizio allestimento degli spazi per la somministrazione dei Vaccini anti Covid 19</t>
  </si>
  <si>
    <t>Mepa- acquisto di materiale per laboratorio, per esigenze di ricercadel Dipartimento di Scienze e Tecnologie Prof. Ettore Varricchio</t>
  </si>
  <si>
    <t>578.0</t>
  </si>
  <si>
    <t>inizio 08/04/2021, ultimazione 07/05/2021</t>
  </si>
  <si>
    <t>MEPA- Acquisto di un Notebook MSI GE66 Raider 10UH-082IT per esigenze di ricerca e didattica del Prof. Gustavo Marini</t>
  </si>
  <si>
    <t>14197361000-GRUPPO GALAGANT SRL</t>
  </si>
  <si>
    <t>3499.0</t>
  </si>
  <si>
    <t>inizio 07/04/2021, ultimazione 28/05/2021</t>
  </si>
  <si>
    <t>Servizio di accreditamento, formazione e gestione in materia di servizio civile per le esigenze dell'Univerist√† degli Studi del Sannio per la durata di tre anni</t>
  </si>
  <si>
    <t xml:space="preserve">94169170639-Associazione Amesci </t>
  </si>
  <si>
    <t>inizio 07/04/2021</t>
  </si>
  <si>
    <t xml:space="preserve">MEPA- Acquisto di un Notebook Toshiba  Ultrabook Portege X50-G-124per esigenze di ricerca e didattica del Prof. Mariano GALLO </t>
  </si>
  <si>
    <t>1999.0</t>
  </si>
  <si>
    <t>MEPA- Acquisto HUAWEI MateBook per esigenze di ricerca e didattica prod. Daponte Pasquale dip. Ingegneria</t>
  </si>
  <si>
    <t>779.0</t>
  </si>
  <si>
    <t>Procedura negoziata ex art. 63 del Decreto Legislativo 50/2016  e ss.mm.ii. da espletarsi mediante Piattaforma Telematica "Appalti&amp;Contratti" per laffidamento del servizio di Cassa dellUniversit√† degli Studi del Sannio per la durata di anni cinque da aggiudicarsi con il criterio dellofferta economicamente pi√π vantaggiosa sulla base del miglior rapporto qualit√† prezzo.</t>
  </si>
  <si>
    <t>02848590754-BANCA POPOLARE PUGLIESE,00423310630-BANCA DI CREDITO POPOLARE,03053920165-UBI BANCA SPA - UNIONE DI BANCHE ITALIANE,00254030729-BANCA POPOLARE DI BARI,00799960158-INTESA SAN PAOLO,00348170101-UNICREDIT,09722490969-BANCO BPM</t>
  </si>
  <si>
    <t>02848590754-BANCA POPOLARE PUGLIESE</t>
  </si>
  <si>
    <t>27000.0</t>
  </si>
  <si>
    <t>inizio 01/04/2021, ultimazione 31/03/2026</t>
  </si>
  <si>
    <t>Servizio di consulenza e assistenza legale a supporto degli Organi di Vertice dellUniversit√† degli Studi del Sannio per la durata di 6 mesi (1 aprile - 30 settembre 2021)</t>
  </si>
  <si>
    <t>12500.0</t>
  </si>
  <si>
    <t>inizio 01/04/2021, ultimazione 30/09/2021</t>
  </si>
  <si>
    <t>materiale laboratorio Optoelettronica progetto NEON_DING</t>
  </si>
  <si>
    <t>1291.0</t>
  </si>
  <si>
    <t>inizio 31/03/2021, ultimazione 31/05/2021</t>
  </si>
  <si>
    <t>3312.0</t>
  </si>
  <si>
    <t>Indagini diagnostiche di tipo valutativo del livello di sicurezza statica su immobile "ex Orsoline"</t>
  </si>
  <si>
    <t>01327380620-Geo-In S.r.l.</t>
  </si>
  <si>
    <t>9755.0</t>
  </si>
  <si>
    <t>08948430965-FISHER SCIENTIFIC SAS</t>
  </si>
  <si>
    <t>190.0</t>
  </si>
  <si>
    <t>inizio 31/03/2021, ultimazione 30/06/2021</t>
  </si>
  <si>
    <t>Affidamento Verifiche periodiche degli impianti di terra ai sensi del D.P.R 462/2001 dei Complessi Immobiliari della Universit√† degli Studi del Sannio.</t>
  </si>
  <si>
    <t>12250.0</t>
  </si>
  <si>
    <t>inizio 31/03/2021, ultimazione 03/08/2021</t>
  </si>
  <si>
    <t>Materiale laboratorio biomedica PGT BIOMEDICA</t>
  </si>
  <si>
    <t>05102540019-PANTEC SRL</t>
  </si>
  <si>
    <t>1485.0</t>
  </si>
  <si>
    <t>Puntali con filtro graduato_Laboratorio Biomedica</t>
  </si>
  <si>
    <t>13023610150-STARLAB S.r.l.</t>
  </si>
  <si>
    <t>666.0</t>
  </si>
  <si>
    <t>inizio 31/03/2021, ultimazione 27/07/2021</t>
  </si>
  <si>
    <t>Software SigmaPlot versione 14.5 per il laboratorio di Scienze e Tecnologie dei Materiali - prof. Stefano ACIERNO -DING</t>
  </si>
  <si>
    <t>270.0</t>
  </si>
  <si>
    <t>inizio 31/03/2021, ultimazione 30/04/2021</t>
  </si>
  <si>
    <t>Materiale per laboratorio DST prof.Vito</t>
  </si>
  <si>
    <t>933.0</t>
  </si>
  <si>
    <t>servizio di pubblicazione memoria scientifica "Surface-Wave Propagation on Non-Hermitian Metasurfaces with Extreme Anisitropy" _ prof. Vincenzo Galdi</t>
  </si>
  <si>
    <t>1100.0</t>
  </si>
  <si>
    <t>inizio 30/03/2021, ultimazione 06/05/2021</t>
  </si>
  <si>
    <t>Corso di formazione (simulazione operativa di una procedura di gara)</t>
  </si>
  <si>
    <t>02890460781-TEMPO S.R.L.</t>
  </si>
  <si>
    <t>inizio 26/03/2021, ultimazione 26/03/2021</t>
  </si>
  <si>
    <t xml:space="preserve">Acquisto di materiale per laboratorio, per esigenze di ricerca  della Prof.Vito Pasquale  </t>
  </si>
  <si>
    <t>494.0</t>
  </si>
  <si>
    <t>inizio 24/03/2021, ultimazione 31/05/2021</t>
  </si>
  <si>
    <t xml:space="preserve">Acquisto di materiale per laboratorio, per esigenze di ricerca  della Prof.ssa Sabatino Lina - DST </t>
  </si>
  <si>
    <t>751.5</t>
  </si>
  <si>
    <t>inizio 24/03/2021, ultimazione 01/05/2021</t>
  </si>
  <si>
    <t>Servizio di organizzazione di n. 3 eventi presso i locali dell'Universit√† degli Studi del Sannio</t>
  </si>
  <si>
    <t>1630.0</t>
  </si>
  <si>
    <t>inizio 23/03/2021, ultimazione 19/05/2021</t>
  </si>
  <si>
    <t>Fornitura di notebook per lo svolgimento del lavoro agile da parte del personale tecnico-amministrativo-bibliotecario</t>
  </si>
  <si>
    <t>47911.59</t>
  </si>
  <si>
    <t>inizio 23/03/2021, ultimazione 14/04/2021</t>
  </si>
  <si>
    <t xml:space="preserve">Servizio di consulenza specialistica di assistenza tecnica alle attivit√† connesse alla Partecipazione al programma innovativo nazionale per la qualit√† dell'abitare.  </t>
  </si>
  <si>
    <t>PRRSVR70L12A783C-arch. Saverio Parrella</t>
  </si>
  <si>
    <t>inizio 20/03/2021, ultimazione 20/07/2021</t>
  </si>
  <si>
    <t>2 RICARICHE AZOTO LIQUIDO PURO DA 300 L Laboratorio FISICA TECNICA</t>
  </si>
  <si>
    <t>570.0</t>
  </si>
  <si>
    <t>inizio 19/03/2021, ultimazione 31/05/2021</t>
  </si>
  <si>
    <t xml:space="preserve">Ordine di Acquisto in adesione di Accordo Quadro di durata 36 mesi, della fornitura, distinta in tre lotti, di Cancelleria (lotto I) - Numero RDO 2567313 - D.D. N. 530/2020 Prot. n. 0013119 del 24/07/2020 - </t>
  </si>
  <si>
    <t>331.0</t>
  </si>
  <si>
    <t>inizio 18/03/2021, ultimazione 08/04/2021</t>
  </si>
  <si>
    <t>Servizio di Evoting sulla piattaforma "ELIGO" per l'elezione dei rappresentati degli studenti nei Consigli di Dipartimento, nei Consigli di Corso di Studio, nel Comitato di Ateneo per lo Sport, nel Senato Accademico, nel Consiglio di Amministrazione e nel Nucleo di Valutazione di Ateneo.</t>
  </si>
  <si>
    <t>11240660156-ID TECHNOLOGY SRL</t>
  </si>
  <si>
    <t>8700.0</t>
  </si>
  <si>
    <t>inizio 15/03/2021, ultimazione 29/04/2021</t>
  </si>
  <si>
    <t xml:space="preserve">Affidamento, ad esito di Trattativa diretta n. 1620712 sul Mercato Elettronico della Pubblica Amministrazione  MEPA, per lacquisto di materiale per laboratorio, per esigenze di ricerca  del Dipartimento di Scienze e Tecnologie Prof. Vito Pasquale </t>
  </si>
  <si>
    <t>1070.34</t>
  </si>
  <si>
    <t>inizio 10/03/2021, ultimazione 31/12/2021</t>
  </si>
  <si>
    <t>887.84</t>
  </si>
  <si>
    <t>Acquisto materiale di laboratorio per esigenze di ricerca del Prof. Vito Pasquale DST</t>
  </si>
  <si>
    <t>943.0</t>
  </si>
  <si>
    <t>inizio 10/03/2021, ultimazione 11/04/2021</t>
  </si>
  <si>
    <t xml:space="preserve">Acquisto di materiale per laboratorio, per esigenze di ricerca  del prof.ssa SCIARRILLO  Rosaria DST </t>
  </si>
  <si>
    <t>622.0</t>
  </si>
  <si>
    <t>Videoproiettore NEC P554U AULA G12</t>
  </si>
  <si>
    <t>CRLGNN74D02A783A-CERINAT 2000 DI GIANNI CAIRELLA</t>
  </si>
  <si>
    <t>1250.0</t>
  </si>
  <si>
    <t>inizio 10/03/2021, ultimazione 27/07/2021</t>
  </si>
  <si>
    <t>Servizi di indagini strutturali e geognostiche inerenti all'edificio ex Battistine</t>
  </si>
  <si>
    <t>39880.0</t>
  </si>
  <si>
    <t>inizio 09/03/2021</t>
  </si>
  <si>
    <t xml:space="preserve">Servizio di Pubblicazione  del volume " Contributi allo studio della follia in diritto romano I." </t>
  </si>
  <si>
    <t>00298660630-CASA EDITRICE DOTT. EUGENIO JOVENE S.R.L.</t>
  </si>
  <si>
    <t>inizio 05/03/2021, ultimazione 04/04/2021</t>
  </si>
  <si>
    <t>Servizio di Pubblicazione dei volumi dal titolo "  La Contabilizzazione delle operazioni del Partenariato Pubblico-Privato" e volume " Concessioni e accordi per sevizi in concessione. Teorici, Modelli di Business e Trattamento Contabile"   Prof. Paolo Esposito</t>
  </si>
  <si>
    <t>4500.0</t>
  </si>
  <si>
    <t>Affidamento diretto, ex art. 36, comma 2, lett.a), del D. Lgs. 50/2016, per cambio profilo di n. 4 SIM DATI,  della VODAFONE ITALIA SPA,  montate sulle strumentazioni di monitoraggio in dotazione del Dipartimento di Scienze e Tecnologie</t>
  </si>
  <si>
    <t>93026890017-VODAFONE ITALIA SPA</t>
  </si>
  <si>
    <t>56.0</t>
  </si>
  <si>
    <t>inizio 01/03/2021, ultimazione 31/12/2021</t>
  </si>
  <si>
    <t>Affidamento diretto di attrezzature informatiche in adesione ad Accordo Quadro stipulato dall'Ateneo, ad esito di R.D.O. MEPA (Decreto Direttoriale del 25 febbraio 2021, n. 229), con il fornitore AM Informatica di Monaco Armando, per esigenze di ricerca e didattica del DIPARTIMENTO DI INGEGNERIA (De Vito, Frosina, Stefanucci, Ullo, Acierno, Pepe, De Masi, Daponte)</t>
  </si>
  <si>
    <t>10158.0</t>
  </si>
  <si>
    <t>inizio 01/03/2021, ultimazione 10/08/2021</t>
  </si>
  <si>
    <t xml:space="preserve">Affidamento diretto, ex art. 36, comma 2, lett.a), del D. Lgs. 50/2016, per lacquisto di Tp-Driver di faida e Temperatura, per esigenze di ricerca  del Dipartimento di Scienze e Tecnologie </t>
  </si>
  <si>
    <t>01919800605-ECOSEARCH S.R.L.</t>
  </si>
  <si>
    <t>3764.0</t>
  </si>
  <si>
    <t>inizio 01/03/2021, ultimazione 01/06/2021</t>
  </si>
  <si>
    <t xml:space="preserve">Servizio di pubblicazione in GURI dell'Avviso di bando d'Asta per la Cessione della quota di partecipazione dell'Universit√† degli Studi del sannio  nella societ√† consortile a responsabilit√† limitata BENECON </t>
  </si>
  <si>
    <t>379.93</t>
  </si>
  <si>
    <t>inizio 01/03/2021, ultimazione 12/03/2021</t>
  </si>
  <si>
    <t xml:space="preserve">Servizio FORNITURA GAS emesse da Estra  Energie srl (CIG: 85654343BE) a servizio dei plessi di Ateneo - Decreto Repertorio n. 962/2020 - Prot n. 22950 del 17/12/2020 </t>
  </si>
  <si>
    <t>01219980529-Estra Energie S.r.l. - Viale Toselli 9/A, 53100 Siena</t>
  </si>
  <si>
    <t>77721.31</t>
  </si>
  <si>
    <t>inizio 01/03/2021, ultimazione 01/03/2022</t>
  </si>
  <si>
    <t>56532.4</t>
  </si>
  <si>
    <t>Affidamento diretto di attrezzature informatiche in adesione ad Accordo Quadro stipulato dall'Ateneo, ad esito di R.D.O. MEPA (Decreto Direttoriale del 25 febbraio 2021, n. 229), con il fornitore AM Informatica di Monaco Armando, per esigenze di ricerca e didattica del DIPARTIMENTO DI INGEGNERIA (Tortorella, Pecce, Frosina, Zimeo, Davino, Pepe, De Masi, Daponte)</t>
  </si>
  <si>
    <t>7729.0</t>
  </si>
  <si>
    <t>Servizio FORNITURA  ELETTRICA  emesse da Enel Energia SpA - Decreto Rettorale del 17/12/2020 n. 961</t>
  </si>
  <si>
    <t>06655971007-Enel Energia - Mercato libero dell'energia Casella Postale 8080 - 85100 Potenza</t>
  </si>
  <si>
    <t>430327.86</t>
  </si>
  <si>
    <t>inizio 01/03/2021, ultimazione 01/09/2022</t>
  </si>
  <si>
    <t>161978.09</t>
  </si>
  <si>
    <t>Mat. consumo laboratorio</t>
  </si>
  <si>
    <t>1758.35</t>
  </si>
  <si>
    <t>inizio 25/02/2021</t>
  </si>
  <si>
    <t>Servizio di prenotazione ed emissione titoli di Viaggio (aerei, ferroviari, altri mezzi) comprensivo dell'Assicurazione Annullamento Viaggio, per le esigenze dei partecipanti al Progetto Ka107 nell'ambito del Programma ERASMUS</t>
  </si>
  <si>
    <t>BRRNGL61T54Z110F-Burriello Viaggi di Burriello Angela,00035100627-Savia di Boccaccino Bernardo &amp; C. s.a.s. ,01360430621-IL VIAGGIO DI CAPITAN FRACASSA S.N.C. DI MICHELINO LUONGO E C.,CLCFNC82A19A783U-WAY OUT TRAVEL DI FRANCESCO CALICCHIO,01754490629-Rotolando Verso Sud s.r.l.</t>
  </si>
  <si>
    <t>01754490629-Rotolando Verso Sud s.r.l.</t>
  </si>
  <si>
    <t>806.32</t>
  </si>
  <si>
    <t>Acquisto di Azoto, Elio e riduttore di pressione , per esigenze dei laboratori del Dipartimento di Scienze e Tecnologie</t>
  </si>
  <si>
    <t>557.0</t>
  </si>
  <si>
    <t>inizio 22/02/2021, ultimazione 21/03/2021</t>
  </si>
  <si>
    <t>Corso di Formazione Le novit√† pensionistiche 2021, organizzato dalla Societ√† e Responsabilit√† Limitata Pubbliformez</t>
  </si>
  <si>
    <t>720.0</t>
  </si>
  <si>
    <t>inizio 19/02/2021, ultimazione 19/02/2021</t>
  </si>
  <si>
    <t>Servizi di ingegneria per la messa a norma antincendio dei seguenti plessi, palazzo De Simone, Ex Enel, Convitto Giannone.</t>
  </si>
  <si>
    <t>VRLVNI67P16A783X-Dott.Ing.Verlingieri Ivan</t>
  </si>
  <si>
    <t>inizio 17/02/2021</t>
  </si>
  <si>
    <t>Affidamento sanificazioni plessi Ateneo dal 23 gennaio 2021 al 31 marzo 2021 - Trattativa diretta MEPA 1585727</t>
  </si>
  <si>
    <t>03315530653-ECOTEAM SRL</t>
  </si>
  <si>
    <t>8000.0</t>
  </si>
  <si>
    <t>inizio 17/02/2021, ultimazione 20/04/2021</t>
  </si>
  <si>
    <t>Lavori per la sostituzione di tre impianti ascensore a servizio del Complesso Immobiliare denominato Ex Poste, sito in Benevento alla via delle Puglie, n. 82</t>
  </si>
  <si>
    <t>124201.31</t>
  </si>
  <si>
    <t>inizio 17/02/2021, ultimazione 27/05/2021</t>
  </si>
  <si>
    <t>Direzione dei lavori  di Adeguamento funzionale e tecnologico, messa in sicurezza ed efficientamento energetico di Palazzo San Domenico.</t>
  </si>
  <si>
    <t>PLTGCR73T27F839B-ING GIANCARLO POLITO</t>
  </si>
  <si>
    <t>38000.0</t>
  </si>
  <si>
    <t>inizio 17/02/2021, ultimazione 07/07/2021</t>
  </si>
  <si>
    <t>Lavori di riqualificazione edile e messa a norma impiantistica dell'immobile denominato Palazzo San Domenico</t>
  </si>
  <si>
    <t>1257923.79</t>
  </si>
  <si>
    <t>inizio 17/02/2021, ultimazione 17/12/2021</t>
  </si>
  <si>
    <t>625077.14</t>
  </si>
  <si>
    <t>Affidamento sanificazioni plessi Ateneo dal 23 gennaio 2021 al 31 marzo 2021 - Trattativa diretta MEPA 1585700</t>
  </si>
  <si>
    <t xml:space="preserve">01840110439-SOCIAL SERVIZI SOCIETA COOPERATIVA SOCIALE </t>
  </si>
  <si>
    <t>inizio 17/02/2021, ultimazione 29/04/2021</t>
  </si>
  <si>
    <t>materiale di laboratorio DST - prof. De Nicola</t>
  </si>
  <si>
    <t>169.0</t>
  </si>
  <si>
    <t>inizio 17/02/2021, ultimazione 31/03/2021</t>
  </si>
  <si>
    <t>Servizio di sanificazione dei locali di Ateneo a seguito epidemia di Covid 19</t>
  </si>
  <si>
    <t>03523460651-PULIM 2000 Societa Cooperativa</t>
  </si>
  <si>
    <t>pubblicazione articolo "Assessment of mechanical and thermal properties of hemp-lime mortar" prof Maria Rosaria Pecce</t>
  </si>
  <si>
    <t>924.0</t>
  </si>
  <si>
    <t>Lavori di riqualificazione edile dell'immobile denominato Palazzo De Simone</t>
  </si>
  <si>
    <t>01255030627-COSTRUZIONI LOMBARDI ACHILLE S.R.L.,04876741218-I.CO.RES. S.R.L.,01403080623-CASAMASSA COSTRUZIONI SRL,01249220623-FERRARO COSTRUZIONI SRL,01692040627-ZENIT S.R.L.,01881650616-COSTRUZIONI DE.M.AL. SRL,01503070623-MASTIO RESTAURI SRL,01519510620-DWE S.R.L.,00908000623-AL.G.ASS. S.R.L.,06853531215-SERIDAN SOCIETA' COOPERATIVA,03789810615-EDILIZIA CALENA SRL,01483330625-EFFEDUE COSTRUZIONI S.R.L.,VRZFNC49P08B872T-GEOM. VERAZZO FRANCESCO,03568420636-VA.BEN SRL,02483170367-I.M.E.SRL,06495790724-DIELLE COSTRUZIONI S.r.l.</t>
  </si>
  <si>
    <t>01249220623-FERRARO COSTRUZIONI SRL</t>
  </si>
  <si>
    <t>350155.65</t>
  </si>
  <si>
    <t>inizio 17/02/2021, ultimazione 17/08/2021</t>
  </si>
  <si>
    <t>211858.25</t>
  </si>
  <si>
    <t>Procedura negoziata ex art. 36, comma 2, lett b) del D.Lgs 50/2016 per l'affidamento con le modalit√† dell'Accordo Quadro, della fornitura (Cancelleria, carta, consumabili da stampa) distinta in tre lotti. RDO 2567313 LOTTO I - Fornitura di cancelleria.</t>
  </si>
  <si>
    <t>534.92</t>
  </si>
  <si>
    <t>inizio 11/02/2021, ultimazione 22/02/2021</t>
  </si>
  <si>
    <t>Corso di Formazione "Novit√† per l'accreditamento iniziale dei corsi di studio", orghanizzato dalla Fondazione CRUI</t>
  </si>
  <si>
    <t>inizio 03/02/2021, ultimazione 03/02/2021</t>
  </si>
  <si>
    <t>Adesione della Universit√† degli Studi del Sannio al Progetto di formazione certificata e aggiornamento professionale ISOIVA 2021, organizzato dal Coinfo</t>
  </si>
  <si>
    <t>Fornitura di scaffalature per il pozzo libraio di Ateno con relativo servizio di facchinaggio delle vecchie scaffalature e dei libri</t>
  </si>
  <si>
    <t>42000.0</t>
  </si>
  <si>
    <t>inizio 02/02/2021, ultimazione 08/03/2021</t>
  </si>
  <si>
    <t>Affidamento diretto amplificatore per attuatore prof. Davino_laboratorio eletttrotecnica DING</t>
  </si>
  <si>
    <t>99999999999-CEDRAT TECHNOLOGIES 59 Chemin du Vieux Ch√©ne, Inoval√©e- 38246 Meylan Cedex</t>
  </si>
  <si>
    <t>1270.0</t>
  </si>
  <si>
    <t>inizio 02/02/2021, ultimazione 31/03/2021</t>
  </si>
  <si>
    <t>Servizio di stampe grafiche Dipartimento di Scienze e Tecnologie</t>
  </si>
  <si>
    <t>01329190621-GRAFICHE IUORIO SNC di Iuorio Antonello &amp; C.</t>
  </si>
  <si>
    <t>750.0</t>
  </si>
  <si>
    <t xml:space="preserve">Affidamento diretto schede prototipali Laboratorio MISURE_ATTICUS_DE VITO </t>
  </si>
  <si>
    <t>09945370014-ExtremEngineering s.r.l.</t>
  </si>
  <si>
    <t>6400.0</t>
  </si>
  <si>
    <t>Materiale per Laboratorio DST_GRISIS_DE NICOLA</t>
  </si>
  <si>
    <t>882.0</t>
  </si>
  <si>
    <t>SARS-CoV-2 Surrogate Virus Neutralization Test - Laboratorio Biomedica prof. Vito</t>
  </si>
  <si>
    <t>05819650960-TWIN HELIX SRL</t>
  </si>
  <si>
    <t>3517.0</t>
  </si>
  <si>
    <t>inizio 02/02/2021, ultimazione 30/11/2021</t>
  </si>
  <si>
    <t>Convenzione "Consip" Fornitura di energia elettrica, con il regime del Prezzo Fisso a 18 mesi, per il plesso edilizio "MUSA - Decreto Direttoriale N. 833/2020 Prot. n. 0020486 del 19/11/2020</t>
  </si>
  <si>
    <t>25000.0</t>
  </si>
  <si>
    <t>inizio 01/02/2021, ultimazione 01/08/2022</t>
  </si>
  <si>
    <t>13991.76</t>
  </si>
  <si>
    <t>servizio di pubblicazione in GURI dell'avviso di AVVISO DI BANDO D'ASTA PER LA CESSIONE DI UNA QUOTA DI PARTECIPAZIONE DELLUNIVERSITA NELLA SOCIETA CONSORTILE A RESPONSABILITA LIMITATA PRODAL</t>
  </si>
  <si>
    <t>397.26</t>
  </si>
  <si>
    <t>inizio 01/02/2021, ultimazione 17/02/2021</t>
  </si>
  <si>
    <t>Affidamento del "SERVIZIO DI PORTIERATO per l'adozione delle misure organizzative e di presidio per proseguo delle attivit√† in condizione di sicurezza a causa del Covid-19" da effettuarsi nei plessi immobiliari della Universit√† degli Studi del Sannio. - Affidamento, ai sensi dellart. 36 comma 2 lett. a) del D.Lgs.vo n.50/2016 e s.m.i., tramite lo strumento della Trattativa Diretta del sistema di e-Procurement della Pubblica Amministrazione (MEPA).</t>
  </si>
  <si>
    <t>02269520645-POLIZIOTTO NOTTURNO S.R.L.,01764680649-COSMOPOL S.P.A.</t>
  </si>
  <si>
    <t>35190.0</t>
  </si>
  <si>
    <t>inizio 01/02/2021, ultimazione 30/06/2021</t>
  </si>
  <si>
    <t>35390.0</t>
  </si>
  <si>
    <t>Supporto al RUP -D.D. n. 43 del 18/01/2021 - Numero Trattativa 1535577</t>
  </si>
  <si>
    <t>DCPGPP88P17E791K-GIUSEPPE DI CAPRIO</t>
  </si>
  <si>
    <t>inizio 18/01/2021, ultimazione 31/12/2021</t>
  </si>
  <si>
    <t>10000.0</t>
  </si>
  <si>
    <t>Servizio di Multimedia Center per la durata di 24 mesi</t>
  </si>
  <si>
    <t>01065700534-OUVERTURE SERVICE SRL</t>
  </si>
  <si>
    <t>39990.0</t>
  </si>
  <si>
    <t>inizio 12/01/2021, ultimazione 12/01/2023</t>
  </si>
  <si>
    <t>23301.01</t>
  </si>
  <si>
    <t>Servizio integrato di medicina del Lavoro e Supporto Tecnico e Specialistico alla Valutazione dei Rischi sui luoghi di lavoro dell'Universit√† degli Studi del Sannio - D.D. n. 16  Prot. n. 0000381 del 12/01/2021 - Numero Trattativa 1556734</t>
  </si>
  <si>
    <t>07504040630-SPESL SRL</t>
  </si>
  <si>
    <t>inizio 12/01/2021, ultimazione 31/12/2021</t>
  </si>
  <si>
    <t>11690.06</t>
  </si>
  <si>
    <t>07252620963-GA SERVICE SRL</t>
  </si>
  <si>
    <t>499.2</t>
  </si>
  <si>
    <t>inizio 11/01/2021, ultimazione 21/12/2021</t>
  </si>
  <si>
    <t>308.64</t>
  </si>
  <si>
    <t>inizio 07/01/2021, ultimazione 14/02/2021</t>
  </si>
  <si>
    <t>Fornitura, per l'anno 2021, della "Gazzetta Astee Appalti Pubblici"</t>
  </si>
  <si>
    <t>inizio 01/01/2021, ultimazione 31/12/2021</t>
  </si>
  <si>
    <t>Abbonamento, per il triennio 2021-2023, ai periodici e al sito editi dalla Maggioli S.p.A.</t>
  </si>
  <si>
    <t>06188330150-Maggioli S.p.A.</t>
  </si>
  <si>
    <t>3311.1</t>
  </si>
  <si>
    <t>inizio 01/01/2021, ultimazione 31/12/2023</t>
  </si>
  <si>
    <t>2207.4</t>
  </si>
  <si>
    <t xml:space="preserve">CONVEZIONE CONSIP ENERGIA ELETTRICA 17 LOTTO 13 - FORNITURA DI ENERGIA ELETTRICA, IN REGIME DI PREZZO FISSO A 18 MESI, PER IL PLESSO EDILIZIO DENOMINATO "EX ORSOLINE" - Procedura di scelta contraente AFFIDAMENTO DIRETTO IN ADESIONE AD ACCORDO QUADRO/CONVENZIONE - D.D. N. 696 DEL 08/10/2020 </t>
  </si>
  <si>
    <t>inizio 01/01/2021, ultimazione 01/07/2022</t>
  </si>
  <si>
    <t>170.03</t>
  </si>
  <si>
    <t xml:space="preserve">Fornitura di materiale cartotecnico e vestiario per i preposti agli accessi. </t>
  </si>
  <si>
    <t>01433680624-TEXI SRL</t>
  </si>
  <si>
    <t>inizio 31/12/2020</t>
  </si>
  <si>
    <t>Sistema di acquisizione SCADAS XS gruppodi ricerca prof. Pecce TD MEPA 1560271</t>
  </si>
  <si>
    <t>39383.0</t>
  </si>
  <si>
    <t>inizio 22/12/2020, ultimazione 19/03/2021</t>
  </si>
  <si>
    <t>Fornitura e posa in opera di frangisole per la sede EX Descrizione Enel. Trattiva Diretta MEPA1536929</t>
  </si>
  <si>
    <t>7185.76</t>
  </si>
  <si>
    <t>inizio 21/12/2020</t>
  </si>
  <si>
    <t>TAVOLETTA GRAFICA tavolette grafiche simonelli DECRETO 350 2020</t>
  </si>
  <si>
    <t>382.0</t>
  </si>
  <si>
    <t>inizio 18/12/2020</t>
  </si>
  <si>
    <t xml:space="preserve">TAVOLETTA GRAFICA PROF. DI SARNO ODA MEPA DECRETO 350 2020 </t>
  </si>
  <si>
    <t>505.0</t>
  </si>
  <si>
    <t>Fornitura di un notebook di tipo 2 in 1 per le esigenze della Direzione Generale</t>
  </si>
  <si>
    <t>12289830155-DELL SPA</t>
  </si>
  <si>
    <t>1962.0</t>
  </si>
  <si>
    <t>inizio 15/12/2020, ultimazione 20/01/2021</t>
  </si>
  <si>
    <t xml:space="preserve">Acquisto di notebook Zbook per esigenze di ricerca del Prof. Rampone Salvatore </t>
  </si>
  <si>
    <t>01812150181-SIGMA SRL</t>
  </si>
  <si>
    <t>1884.0</t>
  </si>
  <si>
    <t>inizio 11/12/2020, ultimazione 31/12/2020</t>
  </si>
  <si>
    <t xml:space="preserve">Acquisto di notebook e tavolette grafiche per esigenze di ricerca e didattica a distanza dei docenti del DEMM </t>
  </si>
  <si>
    <t>5362.0</t>
  </si>
  <si>
    <t>Seminario sulla fascicolazione dei documenti, organizzato dal CINECA per il personale tecnico ed amministrativo</t>
  </si>
  <si>
    <t>00317740371-CINECA Consorzio Interuniversitario</t>
  </si>
  <si>
    <t>inizio 10/12/2020</t>
  </si>
  <si>
    <t>Fornitura, in noleggio, per un periodo di 48 mesi di n. 4 apparecchiature multifunzione monocromatiche con produttivit√† media</t>
  </si>
  <si>
    <t>14000.0</t>
  </si>
  <si>
    <t>2586.67</t>
  </si>
  <si>
    <t>Fornitura di toner per stampanti istallate presso l'Amministrazione Centrale di Ateneo e di stampe in grande formato per interventi edilizi di Ateneo</t>
  </si>
  <si>
    <t>2861.1</t>
  </si>
  <si>
    <t>inizio 09/12/2020</t>
  </si>
  <si>
    <t>858.33</t>
  </si>
  <si>
    <t>inizio 03/12/2020</t>
  </si>
  <si>
    <t>inizio 01/12/2020</t>
  </si>
  <si>
    <t>Acquisto abbonamento annuale on line al quotidiano Il Mattino edizione nazionale e locali, versione Base</t>
  </si>
  <si>
    <t>inizio 01/12/2020, ultimazione 04/12/2020</t>
  </si>
  <si>
    <t>851.0</t>
  </si>
  <si>
    <t>Acquisto di uno spazio pubblicitario personalizzato, con stampa a colori allinterno di una agenda, di taglio elegante, denominata Realt√† Sannita 2021, (n. 1/2 Pagina), ed un numero congruo delle stesse, evento A. A 2020/2021 (28/01/2021)</t>
  </si>
  <si>
    <t>FCCGNN42A16C476Q-Ditta Individuale Edizioni Realt√† Sannita Benevento di Giovanni Fuccio</t>
  </si>
  <si>
    <t>inizio 01/12/2020, ultimazione 17/12/2020</t>
  </si>
  <si>
    <t>222.0</t>
  </si>
  <si>
    <t>425.0</t>
  </si>
  <si>
    <t>Convenzione Consip  per la fornitura di energia elettrica  edizione 17  Lotto 13 - con il regime a prezzo fisso 18 mesi -a servizio dell'immobile denominato "Ex Enel" - Denominazione contratto Consipee17_13__V_Fix18m - Data di attivazione della fornitura 01/12/2020</t>
  </si>
  <si>
    <t>81000.0</t>
  </si>
  <si>
    <t>inizio 01/12/2020, ultimazione 01/06/2022</t>
  </si>
  <si>
    <t>42734.29</t>
  </si>
  <si>
    <t>2615.0</t>
  </si>
  <si>
    <t>forniture riprogettazione aule sant'agostino TD MEPA 1527191</t>
  </si>
  <si>
    <t>01214220624-L&amp;G SERVICE SNC</t>
  </si>
  <si>
    <t>16150.0</t>
  </si>
  <si>
    <t>Seminario dal titolo Ricerca - Buone pratiche di lavoro per un archivio di qualit√†, organizzato dal CINECA, a cui hanno partecipato due unit√† di personale</t>
  </si>
  <si>
    <t>600.0</t>
  </si>
  <si>
    <t>480.0</t>
  </si>
  <si>
    <t>873.0</t>
  </si>
  <si>
    <t>1775.0</t>
  </si>
  <si>
    <t>1370.0</t>
  </si>
  <si>
    <t>09939160157-DUOTECH SRL</t>
  </si>
  <si>
    <t>700.0</t>
  </si>
  <si>
    <t>1060.0</t>
  </si>
  <si>
    <t xml:space="preserve">CONSIP- Convenzione S1 Telefonia Mobile con TIM- Servizio di telefonia bimestre 2 Bimestre 2021 </t>
  </si>
  <si>
    <t>255.36</t>
  </si>
  <si>
    <t>inizio 01/12/2020, ultimazione 31/01/2021</t>
  </si>
  <si>
    <t>225.36</t>
  </si>
  <si>
    <t>1429.0</t>
  </si>
  <si>
    <t>1697.0</t>
  </si>
  <si>
    <t>01777860360-GLASSCHIMICA LABORATORY SNC</t>
  </si>
  <si>
    <t>420.0</t>
  </si>
  <si>
    <t>800.0</t>
  </si>
  <si>
    <t>inizio 26/11/2020</t>
  </si>
  <si>
    <t>Fornitura, in noleggio, per un periodo di 48 mesi, di n. 1 apparecchiatura multifunzione a colori con produttivit√† alta</t>
  </si>
  <si>
    <t>5342.88</t>
  </si>
  <si>
    <t>inizio 24/11/2020</t>
  </si>
  <si>
    <t>1335.72</t>
  </si>
  <si>
    <t>materiale informatico prof Pisco oda mepa</t>
  </si>
  <si>
    <t>1740.0</t>
  </si>
  <si>
    <t>inizio 19/11/2020, ultimazione 31/12/2020</t>
  </si>
  <si>
    <t>materiale informatico prof. Pepe DECRETO 298 2020</t>
  </si>
  <si>
    <t>1586.0</t>
  </si>
  <si>
    <t>inizio 19/11/2020</t>
  </si>
  <si>
    <t>materiale informatico prof. Canfora pgt CANTICO _oda mepa DECRETO 297 2020</t>
  </si>
  <si>
    <t xml:space="preserve">01383010475-Y2K DI BARONTINI FRANCESCO </t>
  </si>
  <si>
    <t>8542.0</t>
  </si>
  <si>
    <t>inizio 18/11/2020</t>
  </si>
  <si>
    <t>Reagenti per laboratorio</t>
  </si>
  <si>
    <t>3750.0</t>
  </si>
  <si>
    <t>inizio 17/11/2020</t>
  </si>
  <si>
    <t>3700.0</t>
  </si>
  <si>
    <t>1850.0</t>
  </si>
  <si>
    <t>1915.0</t>
  </si>
  <si>
    <t>inizio 16/11/2020</t>
  </si>
  <si>
    <t>Trattativa diretta MEPA 1470782 - Servizio di trasloco facchinaggio e sgombero e/o rimozione dei materiali di risulta della tipologia arredi, mobili e attrezzature da effettuarsi nei e tra i complessi immobiliari della Universit√† del Sannio per l'adozione delle misure organizzative e di presidio per proseguo delle attivit√† in condizione di sicurezza a causa del Covid-19 DD. N. 778 DEL 05/11/2020</t>
  </si>
  <si>
    <t>02671340640-TRASLOCHI CATURANO SRL</t>
  </si>
  <si>
    <t>inizio 11/11/2020</t>
  </si>
  <si>
    <t>Servizio, in abbonamento, alla licenza di utilizzo del software per la gestione dei contratti informatici, per la durata di 12 mesi</t>
  </si>
  <si>
    <t>03553050927-DIGITALPA S.R.L.</t>
  </si>
  <si>
    <t>inizio 09/11/2020, ultimazione 09/11/2021</t>
  </si>
  <si>
    <t xml:space="preserve">Acquisto di numero 100 copie del volume  dal titolo Mezzogiorno in progress? Non siamo meridionalisti, </t>
  </si>
  <si>
    <t>93176440720-Osservatorio Regionale Banche  Imprese di Economia e Finanza</t>
  </si>
  <si>
    <t>1442.31</t>
  </si>
  <si>
    <t>inizio 06/11/2020, ultimazione 11/11/2020</t>
  </si>
  <si>
    <t>1310.0</t>
  </si>
  <si>
    <t>inizio 03/11/2020</t>
  </si>
  <si>
    <t>1130.0</t>
  </si>
  <si>
    <t>2120.0</t>
  </si>
  <si>
    <t>Trattativa diretta MEPA 1383200 - Lavori di ristrutturazione e rifacimento dell'impianto elettrico degli uffici dell'Universit√† degli studi del Sannio al secondo piano di Palazzo San Domenico</t>
  </si>
  <si>
    <t>02166800645-EURO INFRASTRUTTURE SRL</t>
  </si>
  <si>
    <t>33000.0</t>
  </si>
  <si>
    <t>inizio 30/10/2020, ultimazione 20/11/2020</t>
  </si>
  <si>
    <t>Corso di Formazione online dal titolo Esse3 Anagrafe Nazionale Studenti, organizzato dal CINECA, partecipazione di una unit√† di personale</t>
  </si>
  <si>
    <t>250.0</t>
  </si>
  <si>
    <t>inizio 29/10/2020</t>
  </si>
  <si>
    <t>inizio 28/10/2020</t>
  </si>
  <si>
    <t>670.0</t>
  </si>
  <si>
    <t>2350.0</t>
  </si>
  <si>
    <t>564.0</t>
  </si>
  <si>
    <t>Potenziamento infrastrutturale per l'erogazione della didattica in modalit√† blended  ulteriori interventi</t>
  </si>
  <si>
    <t>inizio 27/10/2020, ultimazione 20/01/2021</t>
  </si>
  <si>
    <t>730.0</t>
  </si>
  <si>
    <t>inizio 22/10/2020</t>
  </si>
  <si>
    <t xml:space="preserve">Partecip. evento "Orientasud 2020"- 4-5-6 nov 2020- DR n. 725 del 16/10/2020- </t>
  </si>
  <si>
    <t>inizio 19/10/2020, ultimazione 06/11/2020</t>
  </si>
  <si>
    <t>Lavori di Restauro e Risanamento Conservativo dei prospetti e del manto di copertura, nonch√© interventi di manutenzione straordinaria di parti dellimmobile denominato Palazzo Bosco Lucarelli gi√† dell'Aquila di propriet√† dellAteneo</t>
  </si>
  <si>
    <t>01255030627-COSTRUZIONI LOMBARDI ACHILLE S.R.L.,04876741218-I.CO.RES. S.R.L.,01403080623-CASAMASSA COSTRUZIONI SRL,01483060628-CONSORZIO STABILE MEDIL Societ√† consortile per azioni,01692040627-ZENIT S.R.L.,01503070623-MASTIO RESTAURI SRL,01519510620-DWE S.R.L.,14194131000-A.I.CO. CONSORZIO STABILE S.c. a r.l.,00908000623-AL.G.ASS. S.R.L.,01190850626-MATURO COSTRUZIONI SRL,01518620628-CO.GE.FRA. COSTRUZIONI SRL,01373270626-COS.BO SRL,00934980624-HERA RESTAURI S.R.L.,06853531215-SERIDAN SOCIETA' COOPERATIVA,03892770714-CETOLA S.p.A.,01478980707-P.Q. Edilizia E Strade S.R.L.</t>
  </si>
  <si>
    <t>01190850626-MATURO COSTRUZIONI SRL</t>
  </si>
  <si>
    <t>382619.8</t>
  </si>
  <si>
    <t>inizio 15/10/2020, ultimazione 30/05/2021</t>
  </si>
  <si>
    <t>Partecip all'evento "Borsa del Placement 2020"- Verona 26 e 27 ottobre 2020- DR N. 722 DEL 15/10/2020</t>
  </si>
  <si>
    <t>03367281205-FONDAZIONE EMBLEMA</t>
  </si>
  <si>
    <t>inizio 15/10/2020</t>
  </si>
  <si>
    <t>Allestimento di spazi per eventi ed attivit√† istituzionali in spazi diversi a seguito dell'emergenza COVID 19</t>
  </si>
  <si>
    <t>39800.0</t>
  </si>
  <si>
    <t>23568.5</t>
  </si>
  <si>
    <t>materiale informatico Uffici Dipartimento Ingegneria Oda Mepa DECRETO N. 263 2020</t>
  </si>
  <si>
    <t>1831.0</t>
  </si>
  <si>
    <t>inizio 06/10/2020</t>
  </si>
  <si>
    <t>Monitor laboratorio automatico oda mepa</t>
  </si>
  <si>
    <t>07296770634-BIOTEAM LAB SRL</t>
  </si>
  <si>
    <t>140.0</t>
  </si>
  <si>
    <t>materiale informatico prof. Gallo - ODA MEPA</t>
  </si>
  <si>
    <t>910.0</t>
  </si>
  <si>
    <t>CONSIP- Convenzione S1 Telefonia Mobile con TIM- Servizio di telefonia bimestre Ottobre/Novembre 2020</t>
  </si>
  <si>
    <t>322.54</t>
  </si>
  <si>
    <t>inizio 01/10/2020, ultimazione 30/11/2020</t>
  </si>
  <si>
    <t xml:space="preserve">Fornitura della licenza per laccesso e lutilizzo del nuovo Sistema SISVALDIDAT (pacchetto base) da parte dellUniversit√† degli Studi del Sannio per le rilevazioni degli anni accademici 20-21/ 21-22/ 22-23 </t>
  </si>
  <si>
    <t>05754380482-VALMON SRL</t>
  </si>
  <si>
    <t>inizio 28/09/2020</t>
  </si>
  <si>
    <t>Fornitura di scheda GPU NVIDIA Tesla T</t>
  </si>
  <si>
    <t>04472901000-CONVERGE S.P.A.</t>
  </si>
  <si>
    <t>2227.0</t>
  </si>
  <si>
    <t>inizio 18/09/2020, ultimazione 16/12/2020</t>
  </si>
  <si>
    <t>Servizio di VIGILANZA NON ARMATA per ladozione delle misure organizzative e di presidio per proseguo delle attivit√† in condizione di sicurezza a causa del Covid-19 da effettuarsi nei Complessi Immobiliari della Universit√† degli Studi del Sannio-  D.D. n. 621/2020 Prot. n. 0015636 del 15/09/2020</t>
  </si>
  <si>
    <t>51970.0</t>
  </si>
  <si>
    <t>inizio 15/09/2020, ultimazione 30/01/2021</t>
  </si>
  <si>
    <t>24294.9</t>
  </si>
  <si>
    <t>Servizio di migrazione dell'attuale sito web di ateneo dalla versione 7 del CMS Drupal alla versione 8 dello stesso CMS e del servizio di manutenzione ed hosting professionale per un anno</t>
  </si>
  <si>
    <t>30900.0</t>
  </si>
  <si>
    <t>inizio 03/09/2020</t>
  </si>
  <si>
    <t>Affidamento del servizio di comunicazione digitale per l'adozione delle misure organizzative e di contrasto alla diffusione del Covid-19 dell'Universit√† degli Studi del Sannio</t>
  </si>
  <si>
    <t>inizio 01/09/2020, ultimazione 31/08/2021</t>
  </si>
  <si>
    <t>5250.0</t>
  </si>
  <si>
    <t>Servizio di accreditamento, progettazione, formazione e gestione in materia di servizio civile per le esigenze dell'Universit√† degli Studi del Sannio</t>
  </si>
  <si>
    <t>inizio 31/08/2020</t>
  </si>
  <si>
    <t>Fornitura di notebook per la didattica blended mediante Convenzione CONSIP</t>
  </si>
  <si>
    <t>05773090013-ITD SOLUTIONS S.p.A.</t>
  </si>
  <si>
    <t>7588.0</t>
  </si>
  <si>
    <t>inizio 28/08/2020</t>
  </si>
  <si>
    <t>Servizi pubblicitari per promuovere lOfferta Formativa a.a. 2020/2021:Acquisto di spazi pubblicitari sulla seconda web tv sannita Labtv.net "</t>
  </si>
  <si>
    <t>inizio 27/08/2020, ultimazione 13/11/2020</t>
  </si>
  <si>
    <t>Affidamento di Servizi Tecnici per esigenze indifferibili connesse alla realizzazione di un Laboratorio di Ricerca Sperimentale dell'area dell'ingegneria civile, con particolare riferimento all'ingegneria sismica, geotecnica e costruzioni idrauliche.</t>
  </si>
  <si>
    <t>39936.0</t>
  </si>
  <si>
    <t>inizio 06/08/2020</t>
  </si>
  <si>
    <t>6240.0</t>
  </si>
  <si>
    <t xml:space="preserve"> Servizi pubblicitari per promuovere l'Offerta Formativa a.a. 2020/2021: Acquisto di spazi pubblicitari sulla prima web tv sannita Ntr24.tv</t>
  </si>
  <si>
    <t>inizio 30/07/2020, ultimazione 31/07/2020</t>
  </si>
  <si>
    <t>Servizi pubblicitari per promuovere lOfferta Formativa a.a. 2020/2021: Acquisto di spazi pubblicitari su Radio Company</t>
  </si>
  <si>
    <t>01063880627-Luna Communication Italia srl</t>
  </si>
  <si>
    <t>inizio 30/07/2020, ultimazione 30/09/2020</t>
  </si>
  <si>
    <t>servizi pubblicitari per promuovere lOfferta Formativa a.a. 2020/2021</t>
  </si>
  <si>
    <t>3104.5</t>
  </si>
  <si>
    <t>Servizi pubblicitari per promuovere l'Offerta Formativa a.a. 2020/2021: Acquisto di spazi pubblicitari su Anteprima24</t>
  </si>
  <si>
    <t>inizio 30/07/2020, ultimazione 23/03/2021</t>
  </si>
  <si>
    <t xml:space="preserve">Servizi pubblicitari per promuovere l'Offerta Formativa a.a. 2020/2021: Acquisto di spazi pubblicitari su Repubblica.it </t>
  </si>
  <si>
    <t>650.0</t>
  </si>
  <si>
    <t>inizio 30/07/2020, ultimazione 31/08/2020</t>
  </si>
  <si>
    <t>Servizi pubblicitari per promuovere l'Offerta Formativa a.a. 2020/2021: Acquisto di spazi pubblicitari su Ottopagine</t>
  </si>
  <si>
    <t xml:space="preserve">Servizio di rinnovo  di n. 6 domini Unisannio - "Pacchetto Hosting Easy Linux" per esigenze del Dipartimento di Diritto, Economia, Management e Metodi Quantitativi della Universit√† degli Studi del Sannio - DEMM </t>
  </si>
  <si>
    <t>inizio 25/07/2020, ultimazione 04/08/2020</t>
  </si>
  <si>
    <t>Fornitura di n. 1200 zaini porta computer personalizzati per gli immatricolati ai Corsi di Studio dellUniversit√† degli Studi del Sannio a.a. 20-21</t>
  </si>
  <si>
    <t>9948.0</t>
  </si>
  <si>
    <t>inizio 23/07/2020, ultimazione 22/09/2020</t>
  </si>
  <si>
    <t>9881.68</t>
  </si>
  <si>
    <t>Fornitura di n. 1200 borracce personalizzate per gli immatricolati ai Corsi di Studio dellUniversit√† degli Studi del Sannio a.a. 20-21</t>
  </si>
  <si>
    <t>5748.0</t>
  </si>
  <si>
    <t>inizio 20/07/2020, ultimazione 28/08/2020</t>
  </si>
  <si>
    <t>Fornitura e posa in opera delle attrezzature informatiche per il potenziamento infrastrutturale per l'erogazione della didattica in modalit√† blended</t>
  </si>
  <si>
    <t>39700.0</t>
  </si>
  <si>
    <t>inizio 20/07/2020, ultimazione 05/10/2020</t>
  </si>
  <si>
    <t>Fornitura di apparati di networking per le esigenze delle aule e dei laboratori didattici.di ateneo per l'erogazione della didattica in modalit√† blended</t>
  </si>
  <si>
    <t>16870.17</t>
  </si>
  <si>
    <t>inizio 17/07/2020, ultimazione 27/10/2020</t>
  </si>
  <si>
    <t>Completamento Servizi Catastali e servizi aggiuntivi in favore degli Immobili di propriet√† dell'Universit√† degli Studi del Sannio</t>
  </si>
  <si>
    <t>RCCFRC63L04L628E-ORICCHIO FEDERICO</t>
  </si>
  <si>
    <t>3640.0</t>
  </si>
  <si>
    <t>inizio 08/07/2020</t>
  </si>
  <si>
    <t>Fornitura, comprensiva del servizio di stampa e grafica, di n. 9 Manifesti/poster stampa digitale a colori, misura 6x3 metri, con progetto grafico fornito dallAteneo,  illustrativi dellOfferta Formativa dellUniversit√† degli Studi del Sannio anno accademico 2020/2021</t>
  </si>
  <si>
    <t>LNGGPP69D25C557J-FAST PRINT DI LENGUA GIUSEPPE</t>
  </si>
  <si>
    <t>252.0</t>
  </si>
  <si>
    <t>inizio 26/06/2020, ultimazione 01/07/2020</t>
  </si>
  <si>
    <t>Fornitura  di servizi attinenti all'architettura e all'ingegneria beni e servizi consistenti nellaggiornamento e adeguamento del progetto esecutivo inerente ai lavori di Riqualificazione edile del Palazzo De Simone</t>
  </si>
  <si>
    <t>01176440624-Arch. Luigi Salierno</t>
  </si>
  <si>
    <t>33498.5</t>
  </si>
  <si>
    <t>inizio 22/06/2020</t>
  </si>
  <si>
    <t>15600.0</t>
  </si>
  <si>
    <t>Fornitura  di  servizi attinenti all'architettura e all'ingegneria beni e servizi consistenti nell'aggiornamento e adeguamento del progetto esecutivo inerente ai lavori di Riqualificazione edile e messa a norma impiantistica del Palazzo San Domenico  - Trattativa Diretta/MEPA n. 1299007</t>
  </si>
  <si>
    <t>28003.69</t>
  </si>
  <si>
    <t>inizio 16/06/2020, ultimazione 14/10/2020</t>
  </si>
  <si>
    <t>Mat. consumo di laboratorio</t>
  </si>
  <si>
    <t>2205.1</t>
  </si>
  <si>
    <t>inizio 05/06/2020</t>
  </si>
  <si>
    <t>Acquisto notebook per la Direzione Generale</t>
  </si>
  <si>
    <t>1712.0</t>
  </si>
  <si>
    <t>inizio 03/06/2020, ultimazione 03/06/2020</t>
  </si>
  <si>
    <t>1404.5</t>
  </si>
  <si>
    <t>inizio 28/05/2020, ultimazione 06/07/2021</t>
  </si>
  <si>
    <t>Fornitura di dispositivi di protezione individuale per garantire la fruizione in sicurezza dei locali dell'Ateneo</t>
  </si>
  <si>
    <t>05417180659-Nalkein Pharma SRL</t>
  </si>
  <si>
    <t>inizio 08/05/2020, ultimazione 11/05/2020</t>
  </si>
  <si>
    <t xml:space="preserve">Accordo Quadro con un unico operatore economico (Articolo 54 del Decreto Legislativo del 18 aprile 2016, n. 50, e ss.mm.ii.) Lavori Edili per la manutenzione degli immobili dellUniversit√† degli Studi del Sannio </t>
  </si>
  <si>
    <t>01255030627-COSTRUZIONI LOMBARDI ACHILLE S.R.L.,04876741218-I.CO.RES. S.R.L.,01403080623-CASAMASSA COSTRUZIONI SRL,01249220623-FERRARO COSTRUZIONI SRL,01487150623-FUCCI EDIL RESTAURI SRL,01503070623-MASTIO RESTAURI SRL,01519510620-DWE S.R.L.,00908000623-AL.G.ASS. S.R.L.,01190850626-MATURO COSTRUZIONI SRL,01518620628-CO.GE.FRA. COSTRUZIONI SRL,01971810633-COGES S.R.L.,01373270626-COS.BO SRL,01737620706-ZAPPONE ANGELO SRL,01483330625-EFFEDUE COSTRUZIONI S.R.L.,03892770714-CETOLA S.p.A.,01478980707-P.Q. Edilizia E Strade S.R.L.</t>
  </si>
  <si>
    <t>01971810633-COGES S.R.L.</t>
  </si>
  <si>
    <t>inizio 06/05/2020, ultimazione 06/05/2023</t>
  </si>
  <si>
    <t>501667.99</t>
  </si>
  <si>
    <t>Fornitura di toner per stampanti installate presso l'Amministrazione Centrale e di 1 misuratore laser di distanza - D.D. 323/2020</t>
  </si>
  <si>
    <t>inizio 05/05/2020, ultimazione 26/05/2020</t>
  </si>
  <si>
    <t>528.8</t>
  </si>
  <si>
    <t>inizio 10/04/2020</t>
  </si>
  <si>
    <t>427.0</t>
  </si>
  <si>
    <t>256.6</t>
  </si>
  <si>
    <t>inizio 06/04/2020</t>
  </si>
  <si>
    <t>Servizio di audit per il Progetto Educational for Drone (e-Drone) - Programma Erasmus+ KA2</t>
  </si>
  <si>
    <t>RSCMSM71D24B866O-Resce Massimo</t>
  </si>
  <si>
    <t>inizio 19/03/2020, ultimazione 09/04/2020</t>
  </si>
  <si>
    <t>affidamento diretto del servizio di consulenza e di supporto agli Uffici e alle Unit√† Organizzative dell'Ateneo, nell'ambito delle aree tematiche concernenti la costituzione, la gestione ed il monitoraggio degli enti e delle societ√† partecipate dall'Ateneo e il sistema di misurazione e di valutazione delle performance per un periodo di 18 mesi a decorrere dal 15 marzo 2020.</t>
  </si>
  <si>
    <t>37440.0</t>
  </si>
  <si>
    <t>inizio 15/03/2020, ultimazione 14/09/2021</t>
  </si>
  <si>
    <t>Affidamento diretto Abbonamento triennale (01/02/2020 - 31/01/2023) alla rivista denominata "Bollettino di Legislazione Tecnica"</t>
  </si>
  <si>
    <t>05383391009-LEGISLAZIONE TECNICA srl</t>
  </si>
  <si>
    <t>459.0</t>
  </si>
  <si>
    <t>inizio 12/03/2020, ultimazione 31/01/2023</t>
  </si>
  <si>
    <t>153.0</t>
  </si>
  <si>
    <t xml:space="preserve">Servizi Consulenziali di natura specialistica in ambito Archeologico connessi alla realizzazione di un laboratorio di Ricerca Sperimentale dell'area dell'ingegneria civile, con particolare riferimento all'ingegneria sismica </t>
  </si>
  <si>
    <t>00934980624-HERA RESTAURI S.R.L.,00904980620-FRENTANUS SOCIETA' COOPERATIVA A R.L.</t>
  </si>
  <si>
    <t>00904980620-FRENTANUS SOCIETA' COOPERATIVA A R.L.</t>
  </si>
  <si>
    <t>7970.0</t>
  </si>
  <si>
    <t>inizio 09/03/2020</t>
  </si>
  <si>
    <t>Acquisto di uno spazio pubblicitario personalizzato, con stampa a colori allinterno di una agenda, di taglio elegante,  denominata Realt√† Sannita 2020 ed un numero di 50 copie omaggio da distribuire agli studenti e ospiti intervenuti agli eventi organizzati dallAteneo del Sannio</t>
  </si>
  <si>
    <t>inizio 06/03/2020, ultimazione 22/03/2020</t>
  </si>
  <si>
    <t>FORNITURA DI GAS  MEDIANTE ADESIONE ALLA CONVENZIONE GAS NATURALE  LOTTO 8  PER I PLESSI EDILIZI DENOMINATI EX SEA, SAN DOMENICO, DE SIMONE, EX IPAI, POLO DIDATTICO, EX ENEL, PALAZZO BOSCO LUCARELLI, RCOST  E  SANTAGOSTINO  SCADENZA CONTRATTO 28 FEBBRAIO 2021 DECRETO RETTORALE DEL 15 GENNAIO 2020, N. 34</t>
  </si>
  <si>
    <t>123000.0</t>
  </si>
  <si>
    <t>inizio 01/03/2020, ultimazione 28/02/2021</t>
  </si>
  <si>
    <t>21870.0</t>
  </si>
  <si>
    <t>Convenzione Consip - Fornitura di energia elettrica mediante adesione alla Convenzione Energia Elettrica  lotto 13  per i plessi edilizi denominati Sea, S. Vittorino (Annunziata, Tenente Pellegrini e Assise), S. Agostino, S. Domenico, Battistine, Polo Didattico, Ex Ipai, Ex Inps, Giannone, Rcost, De Simone - scadenza contratto 28 febbraio 2021 (Decreto Rettorale del 6 dicembre 2019, n. 1186) . Periodo 1¬∞ marzo 2020  - Consipee16_13_V_Fix12m</t>
  </si>
  <si>
    <t>352500.0</t>
  </si>
  <si>
    <t>170639.27</t>
  </si>
  <si>
    <t>affidamento diretto del servizio di consulenza e di assistenza legale a supporto degli Organi di Vertice dell'Universit√† degli Studi del Sannio, per un periodo di dodici mesi, decorrenti dal 01 marzo 2020</t>
  </si>
  <si>
    <t>31200.0</t>
  </si>
  <si>
    <t>inizio 01/03/2020</t>
  </si>
  <si>
    <t>24590.16</t>
  </si>
  <si>
    <t>Perottamenti alberghieri per l'anno 2020 come da Decreto del Direttore Generale n¬∞68 del 22 gennaio 2020</t>
  </si>
  <si>
    <t>01700850629-VILLA TRAIANO MANAGEMENT SRL</t>
  </si>
  <si>
    <t>2181.82</t>
  </si>
  <si>
    <t>inizio 24/02/2020, ultimazione 31/12/2020</t>
  </si>
  <si>
    <t>72.73</t>
  </si>
  <si>
    <t xml:space="preserve">Convegno Storia della Contabilit√† in collaborazione con la Corte dei Conti - servizi di divulgazione con personale tecnico </t>
  </si>
  <si>
    <t>04357380619-ARS INVICTA S.R.L.S.</t>
  </si>
  <si>
    <t>4050.0</t>
  </si>
  <si>
    <t>inizio 20/02/2020, ultimazione 20/02/2020</t>
  </si>
  <si>
    <t>637.21</t>
  </si>
  <si>
    <t>inizio 19/02/2020, ultimazione 13/07/2020</t>
  </si>
  <si>
    <t>617.01</t>
  </si>
  <si>
    <t>Fornitura, in noleggio, apparecchiature multifunzione A3 a colori</t>
  </si>
  <si>
    <t>11668.8</t>
  </si>
  <si>
    <t>inizio 16/02/2020</t>
  </si>
  <si>
    <t>2333.76</t>
  </si>
  <si>
    <t xml:space="preserve">AFFIDAMENTO SERVIZIO DI ORGANIZZAZIONE E ALLESTIMENTO MANIFESTAZIONE C.U.T. </t>
  </si>
  <si>
    <t>01598120622-Wake Up Srls</t>
  </si>
  <si>
    <t>inizio 05/02/2020, ultimazione 31/03/2020</t>
  </si>
  <si>
    <t>12657941006-CliniSciences srl</t>
  </si>
  <si>
    <t>466.5</t>
  </si>
  <si>
    <t>inizio 29/01/2020</t>
  </si>
  <si>
    <t>Fornitura di beni e servizi necessari per la realizzazione dell'evento Inaugurale dell'Anno Accademico 2019/2020 della Universit√† degli Studi del Sannio (Benevento,28 gennaio 2020)</t>
  </si>
  <si>
    <t>16954.91</t>
  </si>
  <si>
    <t>inizio 23/01/2020, ultimazione 29/01/2020</t>
  </si>
  <si>
    <t>1901.91</t>
  </si>
  <si>
    <t>inizio 22/01/2020</t>
  </si>
  <si>
    <t>Fornitura di materiale informativo comprensivo del servizio di stampa e grafica per le esigenze relative allevento di Orientamento Open Day del 19 febbraio 2020</t>
  </si>
  <si>
    <t>01462840628-Tipografia Capobianco  Capobianco Vincenzo</t>
  </si>
  <si>
    <t>inizio 16/01/2020</t>
  </si>
  <si>
    <t>Fornitura della piattaforma MATLAB nel perido compreso tra il 01.10.20 ed il 30.09.21</t>
  </si>
  <si>
    <t>25852.0</t>
  </si>
  <si>
    <t>inizio 01/01/2020, ultimazione 30/09/2021</t>
  </si>
  <si>
    <t xml:space="preserve">RDO n. 2349599 - SERVIZIO DI VIGILANZA, PER LA DURATA DI ANNI DUE, DEGLI IMMOBILI DELL'UNIVERSITA' DEGLI STUDI DEL SANNIO - Decreto Direttoriale n. 1113, del 2/11/2019 - Decreto Direttoriale n. 277, del 6/04/2020 (estensione, nellambito del quinto dobbligo)  </t>
  </si>
  <si>
    <t>132015.74</t>
  </si>
  <si>
    <t>inizio 01/01/2020, ultimazione 31/12/2021</t>
  </si>
  <si>
    <t>142126.76</t>
  </si>
  <si>
    <t>5076.0</t>
  </si>
  <si>
    <t>inizio 01/12/2019</t>
  </si>
  <si>
    <t>convenzione Consip - Fornitura di energia elettrica mediante adesione alla Convenzione Energia Elettrica  lotto 13  per il plesso edilizio denominato MUSA - scadenza contratto 31 gennaio 2021 (Decreto Direttoriale del 20 maggio 2019, n. 473) - Consipee16_13_V_Fix18m</t>
  </si>
  <si>
    <t>7540.0</t>
  </si>
  <si>
    <t>inizio 01/08/2019, ultimazione 31/01/2021</t>
  </si>
  <si>
    <t>20803.71</t>
  </si>
  <si>
    <t xml:space="preserve">Servizio di collaudo dei Lavori di recupero, adeguamento funzionale e nuove realizzazioni, con annesse sistemazioni esterne, da eseguire nei complessi immobiliari siti in Benevento, alla via dei Mulini, nn. 38 e 73, relativi al quarto stralcio funzionale  </t>
  </si>
  <si>
    <t>VCCLSE67S24L086U-Studio di Ingegneria ed Architettura Vecchi Eliseo</t>
  </si>
  <si>
    <t>31643.06</t>
  </si>
  <si>
    <t>inizio 25/06/2019, ultimazione 06/12/2020</t>
  </si>
  <si>
    <t>Servizio di Catering per n. 5 mini brunch per le esigenze relative agli eventi del MIT Welcome Day e dell'Erasmus Incoming 2019/2020</t>
  </si>
  <si>
    <t>01401040629-HAITI SOCIETA COOPERATIVA</t>
  </si>
  <si>
    <t>inizio 10/01/2019, ultimazione 19/10/2021</t>
  </si>
  <si>
    <t>Servizio di manutenzione dei rilevatori di presenza installati presso le sedi dell'Universit√† degli Studi del Sannio per il biennio 2019/2020</t>
  </si>
  <si>
    <t>05635150013-Societ√† a responsabilit√† limitata ELEX</t>
  </si>
  <si>
    <t>2368.78</t>
  </si>
  <si>
    <t>inizio 01/01/2019, ultimazione 31/12/2020</t>
  </si>
  <si>
    <t>Servizio per la gestione del sistema informatizzato per la rilevazione delle presenze dal 1¬∞ gennaio 2019 al 31 dicembre 2023, in modalit√† PaaS</t>
  </si>
  <si>
    <t>22250.0</t>
  </si>
  <si>
    <t>inizio 01/01/2019, ultimazione 31/12/2023</t>
  </si>
  <si>
    <t>17799.84</t>
  </si>
  <si>
    <t>Appalto servizio di pulizia Unisannio</t>
  </si>
  <si>
    <t>01840110439-SOCIAL SERVIZI SOCIETA COOPERATIVA SOCIALE ,03315530653-ECOTEAM SRL,03523460651-PULIM 2000 Societa Cooperativa</t>
  </si>
  <si>
    <t>1149479.46</t>
  </si>
  <si>
    <t>inizio 01/01/2018, ultimazione 31/03/2021</t>
  </si>
  <si>
    <t>380692.92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</si>
</sst>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
    <xf numFmtId="0" fontId="0" fillId="0" borderId="0" xfId="0"/>
  </cellXfs>
  <cellStyles count="42">
    <cellStyle name="20% - Colore 1" xfId="19" builtinId="30" customBuiltin="1"/>
    <cellStyle name="20% - Colore 2" xfId="23" builtinId="34" customBuiltin="1"/>
    <cellStyle name="20% - Colore 3" xfId="27" builtinId="38" customBuiltin="1"/>
    <cellStyle name="20% - Colore 4" xfId="31" builtinId="42" customBuiltin="1"/>
    <cellStyle name="20% - Colore 5" xfId="35" builtinId="46" customBuiltin="1"/>
    <cellStyle name="20% - Colore 6" xfId="39" builtinId="50" customBuiltin="1"/>
    <cellStyle name="40% - Colore 1" xfId="20" builtinId="31" customBuiltin="1"/>
    <cellStyle name="40% - Colore 2" xfId="24" builtinId="35" customBuiltin="1"/>
    <cellStyle name="40% - Colore 3" xfId="28" builtinId="39" customBuiltin="1"/>
    <cellStyle name="40% - Colore 4" xfId="32" builtinId="43" customBuiltin="1"/>
    <cellStyle name="40% - Colore 5" xfId="36" builtinId="47" customBuiltin="1"/>
    <cellStyle name="40% - Colore 6" xfId="40" builtinId="51" customBuiltin="1"/>
    <cellStyle name="60% - Colore 1" xfId="21" builtinId="32" customBuiltin="1"/>
    <cellStyle name="60% - Colore 2" xfId="25" builtinId="36" customBuiltin="1"/>
    <cellStyle name="60% - Colore 3" xfId="29" builtinId="40" customBuiltin="1"/>
    <cellStyle name="60% - Colore 4" xfId="33" builtinId="44" customBuiltin="1"/>
    <cellStyle name="60% - Colore 5" xfId="37" builtinId="48" customBuiltin="1"/>
    <cellStyle name="60% - Colore 6" xfId="41" builtinId="52" customBuiltin="1"/>
    <cellStyle name="Calcolo" xfId="11" builtinId="22" customBuiltin="1"/>
    <cellStyle name="Cella collegata" xfId="12" builtinId="24" customBuiltin="1"/>
    <cellStyle name="Cella da controllare" xfId="13" builtinId="23" customBuiltin="1"/>
    <cellStyle name="Colore 1" xfId="18" builtinId="29" customBuiltin="1"/>
    <cellStyle name="Colore 2" xfId="22" builtinId="33" customBuiltin="1"/>
    <cellStyle name="Colore 3" xfId="26" builtinId="37" customBuiltin="1"/>
    <cellStyle name="Colore 4" xfId="30" builtinId="41" customBuiltin="1"/>
    <cellStyle name="Colore 5" xfId="34" builtinId="45" customBuiltin="1"/>
    <cellStyle name="Colore 6" xfId="38" builtinId="49" customBuiltin="1"/>
    <cellStyle name="Input" xfId="9" builtinId="20" customBuiltin="1"/>
    <cellStyle name="Neutrale" xfId="8" builtinId="28" customBuiltin="1"/>
    <cellStyle name="Normale" xfId="0" builtinId="0"/>
    <cellStyle name="Nota" xfId="15" builtinId="10" customBuiltin="1"/>
    <cellStyle name="Output" xfId="10" builtinId="21" customBuiltin="1"/>
    <cellStyle name="Testo avviso" xfId="14" builtinId="11" customBuiltin="1"/>
    <cellStyle name="Testo descrittivo" xfId="16" builtinId="53" customBuiltin="1"/>
    <cellStyle name="Titolo" xfId="1" builtinId="15" customBuiltin="1"/>
    <cellStyle name="Titolo 1" xfId="2" builtinId="16" customBuiltin="1"/>
    <cellStyle name="Titolo 2" xfId="3" builtinId="17" customBuiltin="1"/>
    <cellStyle name="Titolo 3" xfId="4" builtinId="18" customBuiltin="1"/>
    <cellStyle name="Titolo 4" xfId="5" builtinId="19" customBuiltin="1"/>
    <cellStyle name="Totale" xfId="17" builtinId="25" customBuiltin="1"/>
    <cellStyle name="Valore non valido" xfId="7" builtinId="27" customBuiltin="1"/>
    <cellStyle name="Valore valido"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98"/>
  <sheetViews>
    <sheetView tabSelected="1" workbookViewId="0"/>
  </sheetViews>
  <sheetFormatPr baseColWidth="10" defaultRowHeight="16" x14ac:dyDescent="0.2"/>
  <sheetData>
    <row r="1" spans="1:9" x14ac:dyDescent="0.2">
      <c r="A1" t="s">
        <v>0</v>
      </c>
      <c r="B1" t="s">
        <v>1</v>
      </c>
      <c r="C1" t="s">
        <v>2</v>
      </c>
      <c r="D1" t="s">
        <v>3</v>
      </c>
      <c r="E1" t="s">
        <v>4</v>
      </c>
      <c r="F1" t="s">
        <v>5</v>
      </c>
      <c r="G1" t="s">
        <v>6</v>
      </c>
      <c r="H1" t="s">
        <v>7</v>
      </c>
      <c r="I1" t="s">
        <v>8</v>
      </c>
    </row>
    <row r="2" spans="1:9" x14ac:dyDescent="0.2">
      <c r="A2" t="str">
        <f>"8747625084"</f>
        <v>8747625084</v>
      </c>
      <c r="B2" t="s">
        <v>9</v>
      </c>
      <c r="C2" t="s">
        <v>10</v>
      </c>
      <c r="D2" t="s">
        <v>11</v>
      </c>
      <c r="E2" t="s">
        <v>12</v>
      </c>
      <c r="F2" t="s">
        <v>12</v>
      </c>
      <c r="G2" t="s">
        <v>13</v>
      </c>
    </row>
    <row r="3" spans="1:9" x14ac:dyDescent="0.2">
      <c r="A3" t="str">
        <f>"8717378FE2"</f>
        <v>8717378FE2</v>
      </c>
      <c r="B3" t="s">
        <v>9</v>
      </c>
      <c r="C3" t="s">
        <v>14</v>
      </c>
      <c r="D3" t="s">
        <v>11</v>
      </c>
      <c r="E3" t="s">
        <v>15</v>
      </c>
      <c r="F3" t="s">
        <v>15</v>
      </c>
      <c r="G3" t="s">
        <v>16</v>
      </c>
    </row>
    <row r="4" spans="1:9" x14ac:dyDescent="0.2">
      <c r="A4" t="str">
        <f>"8652929EE3"</f>
        <v>8652929EE3</v>
      </c>
      <c r="B4" t="s">
        <v>9</v>
      </c>
      <c r="C4" t="s">
        <v>17</v>
      </c>
      <c r="D4" t="s">
        <v>11</v>
      </c>
      <c r="E4" t="s">
        <v>18</v>
      </c>
      <c r="F4" t="s">
        <v>18</v>
      </c>
      <c r="G4" t="s">
        <v>19</v>
      </c>
    </row>
    <row r="5" spans="1:9" x14ac:dyDescent="0.2">
      <c r="A5" t="str">
        <f>"9012835AB8"</f>
        <v>9012835AB8</v>
      </c>
      <c r="B5" t="s">
        <v>9</v>
      </c>
      <c r="C5" t="s">
        <v>20</v>
      </c>
      <c r="D5" t="s">
        <v>11</v>
      </c>
    </row>
    <row r="6" spans="1:9" x14ac:dyDescent="0.2">
      <c r="A6" t="str">
        <f>"87115831B7"</f>
        <v>87115831B7</v>
      </c>
      <c r="B6" t="s">
        <v>9</v>
      </c>
      <c r="C6" t="s">
        <v>21</v>
      </c>
      <c r="D6" t="s">
        <v>11</v>
      </c>
      <c r="E6" t="s">
        <v>22</v>
      </c>
      <c r="F6" t="s">
        <v>22</v>
      </c>
      <c r="G6" t="s">
        <v>23</v>
      </c>
    </row>
    <row r="7" spans="1:9" x14ac:dyDescent="0.2">
      <c r="A7" t="str">
        <f>"86825223D1"</f>
        <v>86825223D1</v>
      </c>
      <c r="B7" t="s">
        <v>9</v>
      </c>
      <c r="C7" t="s">
        <v>24</v>
      </c>
      <c r="D7" t="s">
        <v>25</v>
      </c>
      <c r="E7" t="s">
        <v>26</v>
      </c>
      <c r="F7" t="s">
        <v>27</v>
      </c>
      <c r="G7" t="s">
        <v>28</v>
      </c>
    </row>
    <row r="8" spans="1:9" x14ac:dyDescent="0.2">
      <c r="A8" t="str">
        <f>"8619329F4A"</f>
        <v>8619329F4A</v>
      </c>
      <c r="B8" t="s">
        <v>9</v>
      </c>
      <c r="C8" t="s">
        <v>29</v>
      </c>
      <c r="D8" t="s">
        <v>11</v>
      </c>
      <c r="E8" t="s">
        <v>30</v>
      </c>
      <c r="F8" t="s">
        <v>30</v>
      </c>
      <c r="G8" t="s">
        <v>31</v>
      </c>
    </row>
    <row r="9" spans="1:9" x14ac:dyDescent="0.2">
      <c r="A9" t="str">
        <f>"881093231A"</f>
        <v>881093231A</v>
      </c>
      <c r="B9" t="s">
        <v>9</v>
      </c>
      <c r="C9" t="s">
        <v>32</v>
      </c>
      <c r="D9" t="s">
        <v>11</v>
      </c>
      <c r="E9" t="s">
        <v>33</v>
      </c>
      <c r="F9" t="s">
        <v>33</v>
      </c>
      <c r="G9" t="s">
        <v>34</v>
      </c>
    </row>
    <row r="10" spans="1:9" x14ac:dyDescent="0.2">
      <c r="A10" t="str">
        <f>"8708508823"</f>
        <v>8708508823</v>
      </c>
      <c r="B10" t="s">
        <v>9</v>
      </c>
      <c r="C10" t="s">
        <v>35</v>
      </c>
      <c r="D10" t="s">
        <v>11</v>
      </c>
    </row>
    <row r="11" spans="1:9" x14ac:dyDescent="0.2">
      <c r="A11" t="str">
        <f>"ZCB2D66C56"</f>
        <v>ZCB2D66C56</v>
      </c>
      <c r="B11" t="s">
        <v>9</v>
      </c>
      <c r="C11" t="s">
        <v>36</v>
      </c>
      <c r="D11" t="s">
        <v>37</v>
      </c>
      <c r="E11" t="s">
        <v>38</v>
      </c>
      <c r="F11" t="s">
        <v>38</v>
      </c>
      <c r="G11" t="s">
        <v>39</v>
      </c>
    </row>
    <row r="12" spans="1:9" x14ac:dyDescent="0.2">
      <c r="A12" t="str">
        <f>"8919527288"</f>
        <v>8919527288</v>
      </c>
      <c r="B12" t="s">
        <v>9</v>
      </c>
      <c r="C12" t="s">
        <v>40</v>
      </c>
      <c r="D12" t="s">
        <v>37</v>
      </c>
      <c r="E12" t="s">
        <v>41</v>
      </c>
      <c r="F12" t="s">
        <v>41</v>
      </c>
      <c r="G12" t="s">
        <v>42</v>
      </c>
    </row>
    <row r="13" spans="1:9" x14ac:dyDescent="0.2">
      <c r="A13" t="str">
        <f>"870852020C"</f>
        <v>870852020C</v>
      </c>
      <c r="B13" t="s">
        <v>9</v>
      </c>
      <c r="C13" t="s">
        <v>43</v>
      </c>
      <c r="D13" t="s">
        <v>11</v>
      </c>
    </row>
    <row r="14" spans="1:9" x14ac:dyDescent="0.2">
      <c r="A14" t="str">
        <f>"9069641884"</f>
        <v>9069641884</v>
      </c>
      <c r="B14" t="s">
        <v>9</v>
      </c>
      <c r="C14" t="s">
        <v>44</v>
      </c>
      <c r="D14" t="s">
        <v>11</v>
      </c>
    </row>
    <row r="15" spans="1:9" x14ac:dyDescent="0.2">
      <c r="A15" t="str">
        <f>"8687057238"</f>
        <v>8687057238</v>
      </c>
      <c r="B15" t="s">
        <v>9</v>
      </c>
      <c r="C15" t="s">
        <v>45</v>
      </c>
      <c r="D15" t="s">
        <v>11</v>
      </c>
      <c r="E15" t="s">
        <v>46</v>
      </c>
      <c r="F15" t="s">
        <v>46</v>
      </c>
      <c r="G15" t="s">
        <v>47</v>
      </c>
    </row>
    <row r="16" spans="1:9" x14ac:dyDescent="0.2">
      <c r="A16" t="str">
        <f>"862957890A"</f>
        <v>862957890A</v>
      </c>
      <c r="B16" t="s">
        <v>9</v>
      </c>
      <c r="C16" t="s">
        <v>48</v>
      </c>
      <c r="D16" t="s">
        <v>25</v>
      </c>
      <c r="E16" t="s">
        <v>49</v>
      </c>
      <c r="F16" t="s">
        <v>49</v>
      </c>
      <c r="G16" t="s">
        <v>50</v>
      </c>
    </row>
    <row r="17" spans="1:7" x14ac:dyDescent="0.2">
      <c r="A17" t="str">
        <f>"8954384F6C"</f>
        <v>8954384F6C</v>
      </c>
      <c r="B17" t="s">
        <v>9</v>
      </c>
      <c r="C17" t="s">
        <v>51</v>
      </c>
      <c r="D17" t="s">
        <v>11</v>
      </c>
      <c r="E17" t="s">
        <v>52</v>
      </c>
      <c r="F17" t="s">
        <v>52</v>
      </c>
      <c r="G17" t="s">
        <v>53</v>
      </c>
    </row>
    <row r="18" spans="1:7" x14ac:dyDescent="0.2">
      <c r="A18" t="str">
        <f>"Z602FA80ED"</f>
        <v>Z602FA80ED</v>
      </c>
      <c r="B18" t="s">
        <v>9</v>
      </c>
      <c r="C18" t="s">
        <v>54</v>
      </c>
      <c r="D18" t="s">
        <v>11</v>
      </c>
      <c r="E18" t="s">
        <v>55</v>
      </c>
      <c r="F18" t="s">
        <v>55</v>
      </c>
      <c r="G18" t="s">
        <v>56</v>
      </c>
    </row>
    <row r="19" spans="1:7" x14ac:dyDescent="0.2">
      <c r="A19" t="str">
        <f>"0000000000"</f>
        <v>0000000000</v>
      </c>
      <c r="B19" t="s">
        <v>9</v>
      </c>
      <c r="C19" t="s">
        <v>57</v>
      </c>
      <c r="D19" t="s">
        <v>58</v>
      </c>
      <c r="E19" t="s">
        <v>38</v>
      </c>
      <c r="F19" t="s">
        <v>38</v>
      </c>
      <c r="G19" t="s">
        <v>59</v>
      </c>
    </row>
    <row r="20" spans="1:7" x14ac:dyDescent="0.2">
      <c r="A20" t="str">
        <f>"9082832E11"</f>
        <v>9082832E11</v>
      </c>
      <c r="B20" t="s">
        <v>9</v>
      </c>
      <c r="C20" t="s">
        <v>60</v>
      </c>
      <c r="D20" t="s">
        <v>11</v>
      </c>
    </row>
    <row r="21" spans="1:7" x14ac:dyDescent="0.2">
      <c r="A21" t="str">
        <f>"87213204F0"</f>
        <v>87213204F0</v>
      </c>
      <c r="B21" t="s">
        <v>9</v>
      </c>
      <c r="C21" t="s">
        <v>61</v>
      </c>
      <c r="D21" t="s">
        <v>11</v>
      </c>
      <c r="E21" t="s">
        <v>62</v>
      </c>
      <c r="F21" t="s">
        <v>62</v>
      </c>
      <c r="G21" t="s">
        <v>63</v>
      </c>
    </row>
    <row r="22" spans="1:7" x14ac:dyDescent="0.2">
      <c r="A22" t="str">
        <f>"8653311A21"</f>
        <v>8653311A21</v>
      </c>
      <c r="B22" t="s">
        <v>9</v>
      </c>
      <c r="C22" t="s">
        <v>64</v>
      </c>
      <c r="D22" t="s">
        <v>11</v>
      </c>
      <c r="E22" t="s">
        <v>65</v>
      </c>
      <c r="F22" t="s">
        <v>65</v>
      </c>
      <c r="G22" t="s">
        <v>66</v>
      </c>
    </row>
    <row r="23" spans="1:7" x14ac:dyDescent="0.2">
      <c r="A23" t="str">
        <f>"8792018AC4"</f>
        <v>8792018AC4</v>
      </c>
      <c r="B23" t="s">
        <v>9</v>
      </c>
      <c r="C23" t="s">
        <v>67</v>
      </c>
      <c r="D23" t="s">
        <v>11</v>
      </c>
      <c r="E23" t="s">
        <v>68</v>
      </c>
      <c r="F23" t="s">
        <v>68</v>
      </c>
      <c r="G23" t="s">
        <v>69</v>
      </c>
    </row>
    <row r="24" spans="1:7" x14ac:dyDescent="0.2">
      <c r="A24" t="str">
        <f>"8649669CA7"</f>
        <v>8649669CA7</v>
      </c>
      <c r="B24" t="s">
        <v>9</v>
      </c>
      <c r="C24" t="s">
        <v>70</v>
      </c>
      <c r="D24" t="s">
        <v>58</v>
      </c>
    </row>
    <row r="25" spans="1:7" x14ac:dyDescent="0.2">
      <c r="A25" t="str">
        <f>"8841953271"</f>
        <v>8841953271</v>
      </c>
      <c r="B25" t="s">
        <v>9</v>
      </c>
      <c r="C25" t="s">
        <v>71</v>
      </c>
      <c r="D25" t="s">
        <v>11</v>
      </c>
      <c r="E25" t="s">
        <v>72</v>
      </c>
      <c r="F25" t="s">
        <v>72</v>
      </c>
      <c r="G25" t="s">
        <v>63</v>
      </c>
    </row>
    <row r="26" spans="1:7" x14ac:dyDescent="0.2">
      <c r="A26" t="str">
        <f>"9048603769"</f>
        <v>9048603769</v>
      </c>
      <c r="B26" t="s">
        <v>9</v>
      </c>
      <c r="C26" t="s">
        <v>73</v>
      </c>
      <c r="D26" t="s">
        <v>11</v>
      </c>
      <c r="E26" t="s">
        <v>74</v>
      </c>
      <c r="F26" t="s">
        <v>74</v>
      </c>
      <c r="G26" t="s">
        <v>75</v>
      </c>
    </row>
    <row r="27" spans="1:7" x14ac:dyDescent="0.2">
      <c r="A27" t="str">
        <f>"Z712EF7FB8"</f>
        <v>Z712EF7FB8</v>
      </c>
      <c r="B27" t="s">
        <v>9</v>
      </c>
      <c r="C27" t="s">
        <v>76</v>
      </c>
      <c r="D27" t="s">
        <v>37</v>
      </c>
      <c r="E27" t="s">
        <v>77</v>
      </c>
      <c r="F27" t="s">
        <v>77</v>
      </c>
      <c r="G27" t="s">
        <v>78</v>
      </c>
    </row>
    <row r="28" spans="1:7" x14ac:dyDescent="0.2">
      <c r="A28" t="str">
        <f>"8688258151"</f>
        <v>8688258151</v>
      </c>
      <c r="B28" t="s">
        <v>9</v>
      </c>
      <c r="C28" t="s">
        <v>79</v>
      </c>
      <c r="D28" t="s">
        <v>11</v>
      </c>
      <c r="E28" t="s">
        <v>80</v>
      </c>
      <c r="F28" t="s">
        <v>80</v>
      </c>
      <c r="G28" t="s">
        <v>81</v>
      </c>
    </row>
    <row r="29" spans="1:7" x14ac:dyDescent="0.2">
      <c r="A29" t="str">
        <f>"86883827A3"</f>
        <v>86883827A3</v>
      </c>
      <c r="B29" t="s">
        <v>9</v>
      </c>
      <c r="C29" t="s">
        <v>82</v>
      </c>
      <c r="D29" t="s">
        <v>11</v>
      </c>
      <c r="E29" t="s">
        <v>83</v>
      </c>
      <c r="F29" t="s">
        <v>83</v>
      </c>
      <c r="G29" t="s">
        <v>84</v>
      </c>
    </row>
    <row r="30" spans="1:7" x14ac:dyDescent="0.2">
      <c r="A30" t="str">
        <f>"9010939E16"</f>
        <v>9010939E16</v>
      </c>
      <c r="B30" t="s">
        <v>9</v>
      </c>
      <c r="C30" t="s">
        <v>85</v>
      </c>
      <c r="D30" t="s">
        <v>11</v>
      </c>
      <c r="E30" t="s">
        <v>86</v>
      </c>
      <c r="F30" t="s">
        <v>86</v>
      </c>
      <c r="G30" t="s">
        <v>87</v>
      </c>
    </row>
    <row r="31" spans="1:7" x14ac:dyDescent="0.2">
      <c r="A31" t="str">
        <f>"8926990132"</f>
        <v>8926990132</v>
      </c>
      <c r="B31" t="s">
        <v>9</v>
      </c>
      <c r="C31" t="s">
        <v>88</v>
      </c>
      <c r="D31" t="s">
        <v>11</v>
      </c>
    </row>
    <row r="32" spans="1:7" x14ac:dyDescent="0.2">
      <c r="A32" t="str">
        <f>"89029491EF"</f>
        <v>89029491EF</v>
      </c>
      <c r="B32" t="s">
        <v>9</v>
      </c>
      <c r="C32" t="s">
        <v>89</v>
      </c>
      <c r="D32" t="s">
        <v>11</v>
      </c>
      <c r="E32" t="s">
        <v>90</v>
      </c>
      <c r="F32" t="s">
        <v>90</v>
      </c>
      <c r="G32" t="s">
        <v>91</v>
      </c>
    </row>
    <row r="33" spans="1:7" x14ac:dyDescent="0.2">
      <c r="A33" t="str">
        <f>"8748554F22"</f>
        <v>8748554F22</v>
      </c>
      <c r="B33" t="s">
        <v>9</v>
      </c>
      <c r="C33" t="s">
        <v>92</v>
      </c>
      <c r="D33" t="s">
        <v>11</v>
      </c>
      <c r="E33" t="s">
        <v>93</v>
      </c>
      <c r="F33" t="s">
        <v>93</v>
      </c>
      <c r="G33" t="s">
        <v>94</v>
      </c>
    </row>
    <row r="34" spans="1:7" x14ac:dyDescent="0.2">
      <c r="A34" t="str">
        <f>"8846870C11"</f>
        <v>8846870C11</v>
      </c>
      <c r="B34" t="s">
        <v>9</v>
      </c>
      <c r="C34" t="s">
        <v>95</v>
      </c>
      <c r="D34" t="s">
        <v>11</v>
      </c>
      <c r="E34" t="s">
        <v>46</v>
      </c>
      <c r="F34" t="s">
        <v>46</v>
      </c>
      <c r="G34" t="s">
        <v>96</v>
      </c>
    </row>
    <row r="35" spans="1:7" x14ac:dyDescent="0.2">
      <c r="A35" t="str">
        <f>"8863624DE7"</f>
        <v>8863624DE7</v>
      </c>
      <c r="B35" t="s">
        <v>9</v>
      </c>
      <c r="C35" t="s">
        <v>97</v>
      </c>
      <c r="D35" t="s">
        <v>11</v>
      </c>
      <c r="E35" t="s">
        <v>98</v>
      </c>
      <c r="F35" t="s">
        <v>98</v>
      </c>
      <c r="G35" t="s">
        <v>99</v>
      </c>
    </row>
    <row r="36" spans="1:7" x14ac:dyDescent="0.2">
      <c r="A36" t="str">
        <f>"884191209C"</f>
        <v>884191209C</v>
      </c>
      <c r="B36" t="s">
        <v>9</v>
      </c>
      <c r="C36" t="s">
        <v>100</v>
      </c>
      <c r="D36" t="s">
        <v>11</v>
      </c>
      <c r="E36" t="s">
        <v>101</v>
      </c>
      <c r="F36" t="s">
        <v>101</v>
      </c>
      <c r="G36" t="s">
        <v>102</v>
      </c>
    </row>
    <row r="37" spans="1:7" x14ac:dyDescent="0.2">
      <c r="A37" t="str">
        <f>"ZA72CC1045"</f>
        <v>ZA72CC1045</v>
      </c>
      <c r="B37" t="s">
        <v>9</v>
      </c>
      <c r="C37" t="s">
        <v>103</v>
      </c>
      <c r="D37" t="s">
        <v>11</v>
      </c>
      <c r="E37" t="s">
        <v>104</v>
      </c>
      <c r="F37" t="s">
        <v>104</v>
      </c>
      <c r="G37" t="s">
        <v>105</v>
      </c>
    </row>
    <row r="38" spans="1:7" x14ac:dyDescent="0.2">
      <c r="A38" t="str">
        <f>"90127883F1"</f>
        <v>90127883F1</v>
      </c>
      <c r="B38" t="s">
        <v>9</v>
      </c>
      <c r="C38" t="s">
        <v>106</v>
      </c>
      <c r="D38" t="s">
        <v>11</v>
      </c>
      <c r="E38" t="s">
        <v>107</v>
      </c>
      <c r="F38" t="s">
        <v>107</v>
      </c>
      <c r="G38" t="s">
        <v>108</v>
      </c>
    </row>
    <row r="39" spans="1:7" x14ac:dyDescent="0.2">
      <c r="A39" t="str">
        <f>"9027765B58"</f>
        <v>9027765B58</v>
      </c>
      <c r="B39" t="s">
        <v>9</v>
      </c>
      <c r="C39" t="s">
        <v>109</v>
      </c>
      <c r="D39" t="s">
        <v>11</v>
      </c>
      <c r="E39" t="s">
        <v>110</v>
      </c>
      <c r="F39" t="s">
        <v>110</v>
      </c>
      <c r="G39" t="s">
        <v>111</v>
      </c>
    </row>
    <row r="40" spans="1:7" x14ac:dyDescent="0.2">
      <c r="A40" t="str">
        <f>"8659970152"</f>
        <v>8659970152</v>
      </c>
      <c r="B40" t="s">
        <v>9</v>
      </c>
      <c r="C40" t="s">
        <v>112</v>
      </c>
      <c r="D40" t="s">
        <v>37</v>
      </c>
      <c r="E40" t="s">
        <v>38</v>
      </c>
      <c r="F40" t="s">
        <v>38</v>
      </c>
      <c r="G40" t="s">
        <v>113</v>
      </c>
    </row>
    <row r="41" spans="1:7" x14ac:dyDescent="0.2">
      <c r="A41" t="str">
        <f>"8618876978"</f>
        <v>8618876978</v>
      </c>
      <c r="B41" t="s">
        <v>9</v>
      </c>
      <c r="C41" t="s">
        <v>114</v>
      </c>
      <c r="D41" t="s">
        <v>11</v>
      </c>
      <c r="E41" t="s">
        <v>115</v>
      </c>
      <c r="F41" t="s">
        <v>115</v>
      </c>
      <c r="G41" t="s">
        <v>116</v>
      </c>
    </row>
    <row r="42" spans="1:7" x14ac:dyDescent="0.2">
      <c r="A42" t="str">
        <f>"865292184B"</f>
        <v>865292184B</v>
      </c>
      <c r="B42" t="s">
        <v>9</v>
      </c>
      <c r="C42" t="s">
        <v>117</v>
      </c>
      <c r="D42" t="s">
        <v>11</v>
      </c>
      <c r="E42" t="s">
        <v>118</v>
      </c>
      <c r="F42" t="s">
        <v>118</v>
      </c>
      <c r="G42" t="s">
        <v>119</v>
      </c>
    </row>
    <row r="43" spans="1:7" x14ac:dyDescent="0.2">
      <c r="A43" t="str">
        <f>"894091654A"</f>
        <v>894091654A</v>
      </c>
      <c r="B43" t="s">
        <v>9</v>
      </c>
      <c r="C43" t="s">
        <v>120</v>
      </c>
      <c r="D43" t="s">
        <v>37</v>
      </c>
      <c r="E43" t="s">
        <v>41</v>
      </c>
      <c r="F43" t="s">
        <v>41</v>
      </c>
      <c r="G43" t="s">
        <v>121</v>
      </c>
    </row>
    <row r="44" spans="1:7" x14ac:dyDescent="0.2">
      <c r="A44" t="str">
        <f>"9008837778"</f>
        <v>9008837778</v>
      </c>
      <c r="B44" t="s">
        <v>9</v>
      </c>
      <c r="C44" t="s">
        <v>122</v>
      </c>
      <c r="D44" t="s">
        <v>123</v>
      </c>
      <c r="E44" t="s">
        <v>124</v>
      </c>
    </row>
    <row r="45" spans="1:7" x14ac:dyDescent="0.2">
      <c r="A45" t="str">
        <f>"8633012ADD"</f>
        <v>8633012ADD</v>
      </c>
      <c r="B45" t="s">
        <v>9</v>
      </c>
      <c r="C45" t="s">
        <v>125</v>
      </c>
      <c r="D45" t="s">
        <v>11</v>
      </c>
      <c r="E45" t="s">
        <v>118</v>
      </c>
      <c r="F45" t="s">
        <v>118</v>
      </c>
      <c r="G45" t="s">
        <v>126</v>
      </c>
    </row>
    <row r="46" spans="1:7" x14ac:dyDescent="0.2">
      <c r="A46" t="str">
        <f>"8682763AB0"</f>
        <v>8682763AB0</v>
      </c>
      <c r="B46" t="s">
        <v>9</v>
      </c>
      <c r="C46" t="s">
        <v>127</v>
      </c>
      <c r="D46" t="s">
        <v>25</v>
      </c>
      <c r="E46" t="s">
        <v>128</v>
      </c>
      <c r="F46" t="s">
        <v>129</v>
      </c>
      <c r="G46" t="s">
        <v>130</v>
      </c>
    </row>
    <row r="47" spans="1:7" x14ac:dyDescent="0.2">
      <c r="A47" t="str">
        <f>"86330190A7"</f>
        <v>86330190A7</v>
      </c>
      <c r="B47" t="s">
        <v>9</v>
      </c>
      <c r="C47" t="s">
        <v>131</v>
      </c>
      <c r="D47" t="s">
        <v>11</v>
      </c>
      <c r="E47" t="s">
        <v>118</v>
      </c>
      <c r="F47" t="s">
        <v>118</v>
      </c>
      <c r="G47" t="s">
        <v>126</v>
      </c>
    </row>
    <row r="48" spans="1:7" x14ac:dyDescent="0.2">
      <c r="A48" t="str">
        <f>"8994553BEF"</f>
        <v>8994553BEF</v>
      </c>
      <c r="B48" t="s">
        <v>9</v>
      </c>
      <c r="C48" t="s">
        <v>132</v>
      </c>
      <c r="D48" t="s">
        <v>11</v>
      </c>
      <c r="E48" t="s">
        <v>86</v>
      </c>
      <c r="F48" t="s">
        <v>86</v>
      </c>
      <c r="G48" t="s">
        <v>133</v>
      </c>
    </row>
    <row r="49" spans="1:7" x14ac:dyDescent="0.2">
      <c r="A49" t="str">
        <f>"88928579BE"</f>
        <v>88928579BE</v>
      </c>
      <c r="B49" t="s">
        <v>9</v>
      </c>
      <c r="C49" t="s">
        <v>134</v>
      </c>
      <c r="D49" t="s">
        <v>37</v>
      </c>
      <c r="E49" t="s">
        <v>135</v>
      </c>
      <c r="F49" t="s">
        <v>135</v>
      </c>
      <c r="G49" t="s">
        <v>136</v>
      </c>
    </row>
    <row r="50" spans="1:7" x14ac:dyDescent="0.2">
      <c r="A50" t="str">
        <f>"90827201A8"</f>
        <v>90827201A8</v>
      </c>
      <c r="B50" t="s">
        <v>9</v>
      </c>
      <c r="C50" t="s">
        <v>137</v>
      </c>
      <c r="D50" t="s">
        <v>11</v>
      </c>
    </row>
    <row r="51" spans="1:7" x14ac:dyDescent="0.2">
      <c r="A51" t="str">
        <f>"8829031ADC"</f>
        <v>8829031ADC</v>
      </c>
      <c r="B51" t="s">
        <v>9</v>
      </c>
      <c r="C51" t="s">
        <v>138</v>
      </c>
      <c r="D51" t="s">
        <v>11</v>
      </c>
      <c r="E51" t="s">
        <v>139</v>
      </c>
      <c r="F51" t="s">
        <v>139</v>
      </c>
      <c r="G51" t="s">
        <v>140</v>
      </c>
    </row>
    <row r="52" spans="1:7" x14ac:dyDescent="0.2">
      <c r="A52" t="str">
        <f>"86178098F4"</f>
        <v>86178098F4</v>
      </c>
      <c r="B52" t="s">
        <v>9</v>
      </c>
      <c r="C52" t="s">
        <v>141</v>
      </c>
      <c r="D52" t="s">
        <v>11</v>
      </c>
    </row>
    <row r="53" spans="1:7" x14ac:dyDescent="0.2">
      <c r="A53" t="str">
        <f>"8916184BCA"</f>
        <v>8916184BCA</v>
      </c>
      <c r="B53" t="s">
        <v>9</v>
      </c>
      <c r="C53" t="s">
        <v>142</v>
      </c>
      <c r="D53" t="s">
        <v>37</v>
      </c>
      <c r="E53" t="s">
        <v>27</v>
      </c>
      <c r="F53" t="s">
        <v>27</v>
      </c>
      <c r="G53" t="s">
        <v>143</v>
      </c>
    </row>
    <row r="54" spans="1:7" x14ac:dyDescent="0.2">
      <c r="A54" t="str">
        <f>"8852859A59"</f>
        <v>8852859A59</v>
      </c>
      <c r="B54" t="s">
        <v>9</v>
      </c>
      <c r="C54" t="s">
        <v>144</v>
      </c>
      <c r="D54" t="s">
        <v>11</v>
      </c>
      <c r="E54" t="s">
        <v>118</v>
      </c>
      <c r="F54" t="s">
        <v>118</v>
      </c>
      <c r="G54" t="s">
        <v>145</v>
      </c>
    </row>
    <row r="55" spans="1:7" x14ac:dyDescent="0.2">
      <c r="A55" t="str">
        <f>"ZB42CFA2A1"</f>
        <v>ZB42CFA2A1</v>
      </c>
      <c r="B55" t="s">
        <v>9</v>
      </c>
      <c r="C55" t="s">
        <v>146</v>
      </c>
      <c r="D55" t="s">
        <v>11</v>
      </c>
      <c r="E55" t="s">
        <v>147</v>
      </c>
      <c r="F55" t="s">
        <v>147</v>
      </c>
      <c r="G55" t="s">
        <v>148</v>
      </c>
    </row>
    <row r="56" spans="1:7" x14ac:dyDescent="0.2">
      <c r="A56" t="str">
        <f>"8812481161"</f>
        <v>8812481161</v>
      </c>
      <c r="B56" t="s">
        <v>9</v>
      </c>
      <c r="C56" t="s">
        <v>149</v>
      </c>
      <c r="D56" t="s">
        <v>11</v>
      </c>
      <c r="E56" t="s">
        <v>38</v>
      </c>
      <c r="F56" t="s">
        <v>38</v>
      </c>
      <c r="G56" t="s">
        <v>150</v>
      </c>
    </row>
    <row r="57" spans="1:7" x14ac:dyDescent="0.2">
      <c r="A57" t="str">
        <f>"Z1D2DB962C"</f>
        <v>Z1D2DB962C</v>
      </c>
      <c r="B57" t="s">
        <v>9</v>
      </c>
      <c r="C57" t="s">
        <v>151</v>
      </c>
      <c r="D57" t="s">
        <v>11</v>
      </c>
      <c r="E57" t="s">
        <v>152</v>
      </c>
      <c r="F57" t="s">
        <v>152</v>
      </c>
      <c r="G57" t="s">
        <v>153</v>
      </c>
    </row>
    <row r="58" spans="1:7" x14ac:dyDescent="0.2">
      <c r="A58" t="str">
        <f>"9052177CC3"</f>
        <v>9052177CC3</v>
      </c>
      <c r="B58" t="s">
        <v>9</v>
      </c>
      <c r="C58" t="s">
        <v>154</v>
      </c>
      <c r="D58" t="s">
        <v>25</v>
      </c>
      <c r="E58" t="s">
        <v>155</v>
      </c>
    </row>
    <row r="59" spans="1:7" x14ac:dyDescent="0.2">
      <c r="A59" t="str">
        <f>"8829673CA7"</f>
        <v>8829673CA7</v>
      </c>
      <c r="B59" t="s">
        <v>9</v>
      </c>
      <c r="C59" t="s">
        <v>156</v>
      </c>
      <c r="D59" t="s">
        <v>58</v>
      </c>
      <c r="E59" t="s">
        <v>157</v>
      </c>
      <c r="F59" t="s">
        <v>158</v>
      </c>
      <c r="G59" t="s">
        <v>159</v>
      </c>
    </row>
    <row r="60" spans="1:7" x14ac:dyDescent="0.2">
      <c r="A60" t="str">
        <f>"88464490A9"</f>
        <v>88464490A9</v>
      </c>
      <c r="B60" t="s">
        <v>9</v>
      </c>
      <c r="C60" t="s">
        <v>160</v>
      </c>
      <c r="D60" t="s">
        <v>11</v>
      </c>
      <c r="E60" t="s">
        <v>161</v>
      </c>
      <c r="F60" t="s">
        <v>161</v>
      </c>
      <c r="G60" t="s">
        <v>162</v>
      </c>
    </row>
    <row r="61" spans="1:7" x14ac:dyDescent="0.2">
      <c r="A61" t="str">
        <f>"88451207ED"</f>
        <v>88451207ED</v>
      </c>
      <c r="B61" t="s">
        <v>9</v>
      </c>
      <c r="C61" t="s">
        <v>163</v>
      </c>
      <c r="D61" t="s">
        <v>25</v>
      </c>
      <c r="E61" t="s">
        <v>164</v>
      </c>
      <c r="F61" t="s">
        <v>165</v>
      </c>
      <c r="G61" t="s">
        <v>166</v>
      </c>
    </row>
    <row r="62" spans="1:7" x14ac:dyDescent="0.2">
      <c r="A62" t="str">
        <f>"8772534C0F"</f>
        <v>8772534C0F</v>
      </c>
      <c r="B62" t="s">
        <v>9</v>
      </c>
      <c r="C62" t="s">
        <v>134</v>
      </c>
      <c r="D62" t="s">
        <v>37</v>
      </c>
      <c r="E62" t="s">
        <v>135</v>
      </c>
      <c r="F62" t="s">
        <v>135</v>
      </c>
      <c r="G62" t="s">
        <v>167</v>
      </c>
    </row>
    <row r="63" spans="1:7" x14ac:dyDescent="0.2">
      <c r="A63" t="str">
        <f>"86215052FF"</f>
        <v>86215052FF</v>
      </c>
      <c r="B63" t="s">
        <v>9</v>
      </c>
      <c r="C63" t="s">
        <v>168</v>
      </c>
      <c r="D63" t="s">
        <v>11</v>
      </c>
      <c r="E63" t="s">
        <v>169</v>
      </c>
      <c r="F63" t="s">
        <v>169</v>
      </c>
      <c r="G63" t="s">
        <v>170</v>
      </c>
    </row>
    <row r="64" spans="1:7" x14ac:dyDescent="0.2">
      <c r="A64" t="str">
        <f>"ZB12DCC5CF"</f>
        <v>ZB12DCC5CF</v>
      </c>
      <c r="B64" t="s">
        <v>9</v>
      </c>
      <c r="C64" t="s">
        <v>171</v>
      </c>
      <c r="D64" t="s">
        <v>25</v>
      </c>
      <c r="E64" t="s">
        <v>172</v>
      </c>
      <c r="F64" t="s">
        <v>172</v>
      </c>
      <c r="G64" t="s">
        <v>173</v>
      </c>
    </row>
    <row r="65" spans="1:7" x14ac:dyDescent="0.2">
      <c r="A65" t="str">
        <f>"8855909F48"</f>
        <v>8855909F48</v>
      </c>
      <c r="B65" t="s">
        <v>9</v>
      </c>
      <c r="C65" t="s">
        <v>174</v>
      </c>
      <c r="D65" t="s">
        <v>11</v>
      </c>
      <c r="E65" t="s">
        <v>175</v>
      </c>
      <c r="F65" t="s">
        <v>175</v>
      </c>
      <c r="G65" t="s">
        <v>105</v>
      </c>
    </row>
    <row r="66" spans="1:7" x14ac:dyDescent="0.2">
      <c r="A66" t="str">
        <f>"9082769A15"</f>
        <v>9082769A15</v>
      </c>
      <c r="B66" t="s">
        <v>9</v>
      </c>
      <c r="C66" t="s">
        <v>176</v>
      </c>
      <c r="D66" t="s">
        <v>11</v>
      </c>
    </row>
    <row r="67" spans="1:7" x14ac:dyDescent="0.2">
      <c r="A67" t="str">
        <f>"8646749301"</f>
        <v>8646749301</v>
      </c>
      <c r="B67" t="s">
        <v>9</v>
      </c>
      <c r="C67" t="s">
        <v>177</v>
      </c>
      <c r="D67" t="s">
        <v>11</v>
      </c>
      <c r="E67" t="s">
        <v>178</v>
      </c>
      <c r="F67" t="s">
        <v>178</v>
      </c>
      <c r="G67" t="s">
        <v>179</v>
      </c>
    </row>
    <row r="68" spans="1:7" x14ac:dyDescent="0.2">
      <c r="A68" t="str">
        <f>"90827878F0"</f>
        <v>90827878F0</v>
      </c>
      <c r="B68" t="s">
        <v>9</v>
      </c>
      <c r="C68" t="s">
        <v>180</v>
      </c>
      <c r="D68" t="s">
        <v>11</v>
      </c>
    </row>
    <row r="69" spans="1:7" x14ac:dyDescent="0.2">
      <c r="A69" t="str">
        <f>"8940041338"</f>
        <v>8940041338</v>
      </c>
      <c r="B69" t="s">
        <v>9</v>
      </c>
      <c r="C69" t="s">
        <v>181</v>
      </c>
      <c r="D69" t="s">
        <v>11</v>
      </c>
      <c r="E69" t="s">
        <v>182</v>
      </c>
      <c r="F69" t="s">
        <v>183</v>
      </c>
      <c r="G69" t="s">
        <v>184</v>
      </c>
    </row>
    <row r="70" spans="1:7" x14ac:dyDescent="0.2">
      <c r="A70" t="str">
        <f>"885151339A"</f>
        <v>885151339A</v>
      </c>
      <c r="B70" t="s">
        <v>9</v>
      </c>
      <c r="C70" t="s">
        <v>185</v>
      </c>
      <c r="D70" t="s">
        <v>37</v>
      </c>
      <c r="E70" t="s">
        <v>135</v>
      </c>
      <c r="F70" t="s">
        <v>135</v>
      </c>
      <c r="G70" t="s">
        <v>186</v>
      </c>
    </row>
    <row r="71" spans="1:7" x14ac:dyDescent="0.2">
      <c r="A71" t="str">
        <f>"8896669383"</f>
        <v>8896669383</v>
      </c>
      <c r="B71" t="s">
        <v>9</v>
      </c>
      <c r="C71" t="s">
        <v>187</v>
      </c>
      <c r="D71" t="s">
        <v>11</v>
      </c>
      <c r="E71" t="s">
        <v>188</v>
      </c>
      <c r="F71" t="s">
        <v>188</v>
      </c>
      <c r="G71" t="s">
        <v>189</v>
      </c>
    </row>
    <row r="72" spans="1:7" x14ac:dyDescent="0.2">
      <c r="A72" t="str">
        <f>"8747631576"</f>
        <v>8747631576</v>
      </c>
      <c r="B72" t="s">
        <v>9</v>
      </c>
      <c r="C72" t="s">
        <v>190</v>
      </c>
      <c r="D72" t="s">
        <v>11</v>
      </c>
      <c r="E72" t="s">
        <v>191</v>
      </c>
      <c r="F72" t="s">
        <v>191</v>
      </c>
      <c r="G72" t="s">
        <v>192</v>
      </c>
    </row>
    <row r="73" spans="1:7" x14ac:dyDescent="0.2">
      <c r="A73" t="str">
        <f>"8129697631"</f>
        <v>8129697631</v>
      </c>
      <c r="B73" t="s">
        <v>9</v>
      </c>
      <c r="C73" t="s">
        <v>193</v>
      </c>
      <c r="D73" t="s">
        <v>37</v>
      </c>
    </row>
    <row r="74" spans="1:7" x14ac:dyDescent="0.2">
      <c r="A74" t="str">
        <f>"86111398B2"</f>
        <v>86111398B2</v>
      </c>
      <c r="B74" t="s">
        <v>9</v>
      </c>
      <c r="C74" t="s">
        <v>194</v>
      </c>
      <c r="D74" t="s">
        <v>11</v>
      </c>
      <c r="E74" t="s">
        <v>195</v>
      </c>
      <c r="F74" t="s">
        <v>195</v>
      </c>
      <c r="G74" t="s">
        <v>196</v>
      </c>
    </row>
    <row r="75" spans="1:7" x14ac:dyDescent="0.2">
      <c r="A75" t="str">
        <f>"86120432B5"</f>
        <v>86120432B5</v>
      </c>
      <c r="B75" t="s">
        <v>9</v>
      </c>
      <c r="C75" t="s">
        <v>197</v>
      </c>
      <c r="D75" t="s">
        <v>11</v>
      </c>
      <c r="E75" t="s">
        <v>198</v>
      </c>
      <c r="F75" t="s">
        <v>198</v>
      </c>
      <c r="G75" t="s">
        <v>199</v>
      </c>
    </row>
    <row r="76" spans="1:7" x14ac:dyDescent="0.2">
      <c r="A76" t="str">
        <f>"87736862BB"</f>
        <v>87736862BB</v>
      </c>
      <c r="B76" t="s">
        <v>9</v>
      </c>
      <c r="C76" t="s">
        <v>200</v>
      </c>
      <c r="D76" t="s">
        <v>37</v>
      </c>
      <c r="E76" t="s">
        <v>41</v>
      </c>
      <c r="F76" t="s">
        <v>41</v>
      </c>
      <c r="G76" t="s">
        <v>201</v>
      </c>
    </row>
    <row r="77" spans="1:7" x14ac:dyDescent="0.2">
      <c r="A77" t="str">
        <f>"9022188112"</f>
        <v>9022188112</v>
      </c>
      <c r="B77" t="s">
        <v>9</v>
      </c>
      <c r="C77" t="s">
        <v>202</v>
      </c>
      <c r="D77" t="s">
        <v>11</v>
      </c>
      <c r="E77" t="s">
        <v>68</v>
      </c>
      <c r="F77" t="s">
        <v>68</v>
      </c>
      <c r="G77" t="s">
        <v>203</v>
      </c>
    </row>
    <row r="78" spans="1:7" x14ac:dyDescent="0.2">
      <c r="A78" t="str">
        <f>"883988470B"</f>
        <v>883988470B</v>
      </c>
      <c r="B78" t="s">
        <v>9</v>
      </c>
      <c r="C78" t="s">
        <v>204</v>
      </c>
      <c r="D78" t="s">
        <v>11</v>
      </c>
      <c r="E78" t="s">
        <v>183</v>
      </c>
      <c r="F78" t="s">
        <v>183</v>
      </c>
      <c r="G78" t="s">
        <v>205</v>
      </c>
    </row>
    <row r="79" spans="1:7" x14ac:dyDescent="0.2">
      <c r="A79" t="str">
        <f>"9014787591"</f>
        <v>9014787591</v>
      </c>
      <c r="B79" t="s">
        <v>9</v>
      </c>
      <c r="C79" t="s">
        <v>206</v>
      </c>
      <c r="D79" t="s">
        <v>25</v>
      </c>
      <c r="E79" t="s">
        <v>207</v>
      </c>
    </row>
    <row r="80" spans="1:7" x14ac:dyDescent="0.2">
      <c r="A80" t="str">
        <f>"8994598115"</f>
        <v>8994598115</v>
      </c>
      <c r="B80" t="s">
        <v>9</v>
      </c>
      <c r="C80" t="s">
        <v>208</v>
      </c>
      <c r="D80" t="s">
        <v>11</v>
      </c>
    </row>
    <row r="81" spans="1:7" x14ac:dyDescent="0.2">
      <c r="A81" t="str">
        <f>"8718845A7F"</f>
        <v>8718845A7F</v>
      </c>
      <c r="B81" t="s">
        <v>9</v>
      </c>
      <c r="C81" t="s">
        <v>209</v>
      </c>
      <c r="D81" t="s">
        <v>11</v>
      </c>
      <c r="E81" t="s">
        <v>210</v>
      </c>
      <c r="F81" t="s">
        <v>210</v>
      </c>
      <c r="G81" t="s">
        <v>211</v>
      </c>
    </row>
    <row r="82" spans="1:7" x14ac:dyDescent="0.2">
      <c r="A82" t="str">
        <f>"8633033C31"</f>
        <v>8633033C31</v>
      </c>
      <c r="B82" t="s">
        <v>9</v>
      </c>
      <c r="C82" t="s">
        <v>212</v>
      </c>
      <c r="D82" t="s">
        <v>11</v>
      </c>
      <c r="E82" t="s">
        <v>46</v>
      </c>
      <c r="F82" t="s">
        <v>46</v>
      </c>
      <c r="G82" t="s">
        <v>213</v>
      </c>
    </row>
    <row r="83" spans="1:7" x14ac:dyDescent="0.2">
      <c r="A83" t="str">
        <f>"8961726A3D"</f>
        <v>8961726A3D</v>
      </c>
      <c r="B83" t="s">
        <v>9</v>
      </c>
      <c r="C83" t="s">
        <v>214</v>
      </c>
      <c r="D83" t="s">
        <v>11</v>
      </c>
      <c r="E83" t="s">
        <v>215</v>
      </c>
      <c r="F83" t="s">
        <v>215</v>
      </c>
      <c r="G83" t="s">
        <v>216</v>
      </c>
    </row>
    <row r="84" spans="1:7" x14ac:dyDescent="0.2">
      <c r="A84" t="str">
        <f>"86419613D2"</f>
        <v>86419613D2</v>
      </c>
      <c r="B84" t="s">
        <v>9</v>
      </c>
      <c r="C84" t="s">
        <v>217</v>
      </c>
      <c r="D84" t="s">
        <v>11</v>
      </c>
      <c r="E84" t="s">
        <v>218</v>
      </c>
      <c r="F84" t="s">
        <v>218</v>
      </c>
      <c r="G84" t="s">
        <v>219</v>
      </c>
    </row>
    <row r="85" spans="1:7" x14ac:dyDescent="0.2">
      <c r="A85" t="str">
        <f>"863302773F"</f>
        <v>863302773F</v>
      </c>
      <c r="B85" t="s">
        <v>9</v>
      </c>
      <c r="C85" t="s">
        <v>220</v>
      </c>
      <c r="D85" t="s">
        <v>11</v>
      </c>
      <c r="E85" t="s">
        <v>46</v>
      </c>
      <c r="F85" t="s">
        <v>46</v>
      </c>
      <c r="G85" t="s">
        <v>221</v>
      </c>
    </row>
    <row r="86" spans="1:7" x14ac:dyDescent="0.2">
      <c r="A86" t="str">
        <f>"9082681179"</f>
        <v>9082681179</v>
      </c>
      <c r="B86" t="s">
        <v>9</v>
      </c>
      <c r="C86" t="s">
        <v>222</v>
      </c>
      <c r="D86" t="s">
        <v>11</v>
      </c>
    </row>
    <row r="87" spans="1:7" x14ac:dyDescent="0.2">
      <c r="A87" t="str">
        <f>"89546857D3"</f>
        <v>89546857D3</v>
      </c>
      <c r="B87" t="s">
        <v>9</v>
      </c>
      <c r="C87" t="s">
        <v>223</v>
      </c>
      <c r="D87" t="s">
        <v>11</v>
      </c>
      <c r="E87" t="s">
        <v>224</v>
      </c>
      <c r="F87" t="s">
        <v>224</v>
      </c>
      <c r="G87" t="s">
        <v>225</v>
      </c>
    </row>
    <row r="88" spans="1:7" x14ac:dyDescent="0.2">
      <c r="A88" t="str">
        <f>"Y13315E8FF"</f>
        <v>Y13315E8FF</v>
      </c>
      <c r="B88" t="s">
        <v>9</v>
      </c>
      <c r="C88" t="s">
        <v>226</v>
      </c>
      <c r="D88" t="s">
        <v>11</v>
      </c>
      <c r="E88" t="s">
        <v>147</v>
      </c>
      <c r="F88" t="s">
        <v>147</v>
      </c>
      <c r="G88" t="s">
        <v>148</v>
      </c>
    </row>
    <row r="89" spans="1:7" x14ac:dyDescent="0.2">
      <c r="A89" t="str">
        <f>"8682750FF4"</f>
        <v>8682750FF4</v>
      </c>
      <c r="B89" t="s">
        <v>9</v>
      </c>
      <c r="C89" t="s">
        <v>227</v>
      </c>
      <c r="D89" t="s">
        <v>25</v>
      </c>
      <c r="E89" t="s">
        <v>128</v>
      </c>
      <c r="F89" t="s">
        <v>228</v>
      </c>
      <c r="G89" t="s">
        <v>229</v>
      </c>
    </row>
    <row r="90" spans="1:7" x14ac:dyDescent="0.2">
      <c r="A90" t="str">
        <f>"8829674D7A"</f>
        <v>8829674D7A</v>
      </c>
      <c r="B90" t="s">
        <v>9</v>
      </c>
      <c r="C90" t="s">
        <v>230</v>
      </c>
      <c r="D90" t="s">
        <v>58</v>
      </c>
    </row>
    <row r="91" spans="1:7" x14ac:dyDescent="0.2">
      <c r="A91" t="str">
        <f>"8758321B1F"</f>
        <v>8758321B1F</v>
      </c>
      <c r="B91" t="s">
        <v>9</v>
      </c>
      <c r="C91" t="s">
        <v>231</v>
      </c>
      <c r="D91" t="s">
        <v>37</v>
      </c>
      <c r="E91" t="s">
        <v>232</v>
      </c>
      <c r="F91" t="s">
        <v>232</v>
      </c>
      <c r="G91" t="s">
        <v>233</v>
      </c>
    </row>
    <row r="92" spans="1:7" x14ac:dyDescent="0.2">
      <c r="A92" t="str">
        <f>"8725250015"</f>
        <v>8725250015</v>
      </c>
      <c r="B92" t="s">
        <v>9</v>
      </c>
      <c r="C92" t="s">
        <v>234</v>
      </c>
      <c r="D92" t="s">
        <v>11</v>
      </c>
      <c r="E92" t="s">
        <v>235</v>
      </c>
      <c r="F92" t="s">
        <v>235</v>
      </c>
      <c r="G92" t="s">
        <v>236</v>
      </c>
    </row>
    <row r="93" spans="1:7" x14ac:dyDescent="0.2">
      <c r="A93" t="str">
        <f>"8602462038"</f>
        <v>8602462038</v>
      </c>
      <c r="B93" t="s">
        <v>9</v>
      </c>
      <c r="C93" t="s">
        <v>237</v>
      </c>
      <c r="D93" t="s">
        <v>58</v>
      </c>
    </row>
    <row r="94" spans="1:7" x14ac:dyDescent="0.2">
      <c r="A94" t="str">
        <f>"89295100C4"</f>
        <v>89295100C4</v>
      </c>
      <c r="B94" t="s">
        <v>9</v>
      </c>
      <c r="C94" t="s">
        <v>238</v>
      </c>
      <c r="D94" t="s">
        <v>11</v>
      </c>
      <c r="E94" t="s">
        <v>239</v>
      </c>
      <c r="F94" t="s">
        <v>239</v>
      </c>
      <c r="G94" t="s">
        <v>240</v>
      </c>
    </row>
    <row r="95" spans="1:7" x14ac:dyDescent="0.2">
      <c r="A95" t="str">
        <f>"8733310B64"</f>
        <v>8733310B64</v>
      </c>
      <c r="B95" t="s">
        <v>9</v>
      </c>
      <c r="C95" t="s">
        <v>241</v>
      </c>
      <c r="D95" t="s">
        <v>11</v>
      </c>
      <c r="E95" t="s">
        <v>242</v>
      </c>
      <c r="F95" t="s">
        <v>242</v>
      </c>
      <c r="G95" t="s">
        <v>243</v>
      </c>
    </row>
    <row r="96" spans="1:7" x14ac:dyDescent="0.2">
      <c r="A96" t="str">
        <f>"8682759764"</f>
        <v>8682759764</v>
      </c>
      <c r="B96" t="s">
        <v>9</v>
      </c>
      <c r="C96" t="s">
        <v>244</v>
      </c>
      <c r="D96" t="s">
        <v>25</v>
      </c>
      <c r="E96" t="s">
        <v>128</v>
      </c>
      <c r="F96" t="s">
        <v>245</v>
      </c>
      <c r="G96" t="s">
        <v>246</v>
      </c>
    </row>
    <row r="97" spans="1:9" x14ac:dyDescent="0.2">
      <c r="A97" t="str">
        <f>"8602177506"</f>
        <v>8602177506</v>
      </c>
      <c r="B97" t="s">
        <v>9</v>
      </c>
      <c r="C97" t="s">
        <v>247</v>
      </c>
      <c r="D97" t="s">
        <v>58</v>
      </c>
    </row>
    <row r="98" spans="1:9" x14ac:dyDescent="0.2">
      <c r="A98" t="str">
        <f>"88146596B7"</f>
        <v>88146596B7</v>
      </c>
      <c r="B98" t="s">
        <v>9</v>
      </c>
      <c r="C98" t="s">
        <v>248</v>
      </c>
      <c r="D98" t="s">
        <v>37</v>
      </c>
      <c r="E98" t="s">
        <v>249</v>
      </c>
      <c r="F98" t="s">
        <v>249</v>
      </c>
      <c r="G98" t="s">
        <v>250</v>
      </c>
    </row>
    <row r="99" spans="1:9" x14ac:dyDescent="0.2">
      <c r="A99" t="str">
        <f>"86460176EF"</f>
        <v>86460176EF</v>
      </c>
      <c r="B99" t="s">
        <v>9</v>
      </c>
      <c r="C99" t="s">
        <v>251</v>
      </c>
      <c r="D99" t="s">
        <v>11</v>
      </c>
      <c r="E99" t="s">
        <v>252</v>
      </c>
      <c r="F99" t="s">
        <v>252</v>
      </c>
      <c r="G99" t="s">
        <v>253</v>
      </c>
    </row>
    <row r="100" spans="1:9" x14ac:dyDescent="0.2">
      <c r="A100" t="str">
        <f>"9065220831"</f>
        <v>9065220831</v>
      </c>
      <c r="B100" t="s">
        <v>9</v>
      </c>
      <c r="C100" t="s">
        <v>254</v>
      </c>
      <c r="D100" t="s">
        <v>11</v>
      </c>
      <c r="E100" t="s">
        <v>118</v>
      </c>
      <c r="F100" t="s">
        <v>118</v>
      </c>
      <c r="G100" t="s">
        <v>255</v>
      </c>
    </row>
    <row r="101" spans="1:9" x14ac:dyDescent="0.2">
      <c r="A101" t="str">
        <f>"9082738083"</f>
        <v>9082738083</v>
      </c>
      <c r="B101" t="s">
        <v>9</v>
      </c>
      <c r="C101" t="s">
        <v>256</v>
      </c>
      <c r="D101" t="s">
        <v>11</v>
      </c>
    </row>
    <row r="102" spans="1:9" x14ac:dyDescent="0.2">
      <c r="A102" t="str">
        <f>"875394826B"</f>
        <v>875394826B</v>
      </c>
      <c r="B102" t="s">
        <v>9</v>
      </c>
      <c r="C102" t="s">
        <v>257</v>
      </c>
      <c r="D102" t="s">
        <v>11</v>
      </c>
      <c r="E102" t="s">
        <v>258</v>
      </c>
      <c r="F102" t="s">
        <v>258</v>
      </c>
      <c r="G102" t="s">
        <v>259</v>
      </c>
    </row>
    <row r="103" spans="1:9" x14ac:dyDescent="0.2">
      <c r="A103" t="str">
        <f>"86825109E8"</f>
        <v>86825109E8</v>
      </c>
      <c r="B103" t="s">
        <v>9</v>
      </c>
      <c r="C103" t="s">
        <v>260</v>
      </c>
      <c r="D103" t="s">
        <v>25</v>
      </c>
      <c r="E103" t="s">
        <v>26</v>
      </c>
      <c r="F103" t="s">
        <v>135</v>
      </c>
      <c r="G103" t="s">
        <v>261</v>
      </c>
    </row>
    <row r="104" spans="1:9" x14ac:dyDescent="0.2">
      <c r="A104" t="str">
        <f>"86930503CC"</f>
        <v>86930503CC</v>
      </c>
      <c r="B104" t="s">
        <v>9</v>
      </c>
      <c r="C104" t="s">
        <v>262</v>
      </c>
      <c r="D104" t="s">
        <v>11</v>
      </c>
      <c r="E104" t="s">
        <v>158</v>
      </c>
      <c r="F104" t="s">
        <v>158</v>
      </c>
      <c r="G104" t="s">
        <v>263</v>
      </c>
      <c r="H104" t="s">
        <v>264</v>
      </c>
      <c r="I104" t="s">
        <v>263</v>
      </c>
    </row>
    <row r="105" spans="1:9" x14ac:dyDescent="0.2">
      <c r="A105" t="str">
        <f>"90480341DD"</f>
        <v>90480341DD</v>
      </c>
      <c r="B105" t="s">
        <v>9</v>
      </c>
      <c r="C105" t="s">
        <v>265</v>
      </c>
      <c r="D105" t="s">
        <v>11</v>
      </c>
      <c r="E105" t="s">
        <v>266</v>
      </c>
      <c r="F105" t="s">
        <v>266</v>
      </c>
      <c r="G105" t="s">
        <v>267</v>
      </c>
      <c r="H105" t="s">
        <v>268</v>
      </c>
    </row>
    <row r="106" spans="1:9" x14ac:dyDescent="0.2">
      <c r="A106" t="str">
        <f>"9065227DF6"</f>
        <v>9065227DF6</v>
      </c>
      <c r="B106" t="s">
        <v>9</v>
      </c>
      <c r="C106" t="s">
        <v>269</v>
      </c>
      <c r="D106" t="s">
        <v>11</v>
      </c>
      <c r="E106" t="s">
        <v>270</v>
      </c>
      <c r="F106" t="s">
        <v>270</v>
      </c>
      <c r="G106" t="s">
        <v>271</v>
      </c>
      <c r="H106" t="s">
        <v>272</v>
      </c>
    </row>
    <row r="107" spans="1:9" x14ac:dyDescent="0.2">
      <c r="A107" t="str">
        <f>"90656792FA"</f>
        <v>90656792FA</v>
      </c>
      <c r="B107" t="s">
        <v>9</v>
      </c>
      <c r="C107" t="s">
        <v>273</v>
      </c>
      <c r="D107" t="s">
        <v>11</v>
      </c>
      <c r="E107" t="s">
        <v>270</v>
      </c>
      <c r="F107" t="s">
        <v>270</v>
      </c>
      <c r="G107" t="s">
        <v>274</v>
      </c>
      <c r="H107" t="s">
        <v>272</v>
      </c>
    </row>
    <row r="108" spans="1:9" x14ac:dyDescent="0.2">
      <c r="A108" t="str">
        <f>"8968866E59"</f>
        <v>8968866E59</v>
      </c>
      <c r="B108" t="s">
        <v>9</v>
      </c>
      <c r="C108" t="s">
        <v>275</v>
      </c>
      <c r="D108" t="s">
        <v>25</v>
      </c>
      <c r="E108" t="s">
        <v>276</v>
      </c>
      <c r="F108" t="s">
        <v>276</v>
      </c>
      <c r="G108" t="s">
        <v>277</v>
      </c>
      <c r="H108" t="s">
        <v>278</v>
      </c>
      <c r="I108" t="s">
        <v>279</v>
      </c>
    </row>
    <row r="109" spans="1:9" x14ac:dyDescent="0.2">
      <c r="A109" t="str">
        <f>"89906810AC"</f>
        <v>89906810AC</v>
      </c>
      <c r="B109" t="s">
        <v>9</v>
      </c>
      <c r="C109" t="s">
        <v>280</v>
      </c>
      <c r="D109" t="s">
        <v>11</v>
      </c>
      <c r="E109" t="s">
        <v>281</v>
      </c>
      <c r="F109" t="s">
        <v>281</v>
      </c>
      <c r="G109" t="s">
        <v>282</v>
      </c>
      <c r="H109" t="s">
        <v>278</v>
      </c>
    </row>
    <row r="110" spans="1:9" x14ac:dyDescent="0.2">
      <c r="A110" t="str">
        <f>"9023542E69"</f>
        <v>9023542E69</v>
      </c>
      <c r="B110" t="s">
        <v>9</v>
      </c>
      <c r="C110" t="s">
        <v>283</v>
      </c>
      <c r="D110" t="s">
        <v>11</v>
      </c>
      <c r="E110" t="s">
        <v>46</v>
      </c>
      <c r="F110" t="s">
        <v>46</v>
      </c>
      <c r="G110" t="s">
        <v>284</v>
      </c>
      <c r="H110" t="s">
        <v>285</v>
      </c>
      <c r="I110" t="s">
        <v>284</v>
      </c>
    </row>
    <row r="111" spans="1:9" x14ac:dyDescent="0.2">
      <c r="A111" t="str">
        <f>"8968904DB5"</f>
        <v>8968904DB5</v>
      </c>
      <c r="B111" t="s">
        <v>9</v>
      </c>
      <c r="C111" t="s">
        <v>286</v>
      </c>
      <c r="D111" t="s">
        <v>25</v>
      </c>
      <c r="E111" t="s">
        <v>287</v>
      </c>
      <c r="F111" t="s">
        <v>287</v>
      </c>
      <c r="G111" t="s">
        <v>288</v>
      </c>
      <c r="H111" t="s">
        <v>278</v>
      </c>
      <c r="I111" t="s">
        <v>289</v>
      </c>
    </row>
    <row r="112" spans="1:9" x14ac:dyDescent="0.2">
      <c r="A112" t="str">
        <f>"8990136EE8"</f>
        <v>8990136EE8</v>
      </c>
      <c r="B112" t="s">
        <v>9</v>
      </c>
      <c r="C112" t="s">
        <v>290</v>
      </c>
      <c r="D112" t="s">
        <v>37</v>
      </c>
      <c r="E112" t="s">
        <v>41</v>
      </c>
      <c r="F112" t="s">
        <v>41</v>
      </c>
      <c r="G112" t="s">
        <v>291</v>
      </c>
      <c r="H112" t="s">
        <v>278</v>
      </c>
    </row>
    <row r="113" spans="1:9" x14ac:dyDescent="0.2">
      <c r="A113" t="str">
        <f>"9022298BD5"</f>
        <v>9022298BD5</v>
      </c>
      <c r="B113" t="s">
        <v>9</v>
      </c>
      <c r="C113" t="s">
        <v>292</v>
      </c>
      <c r="D113" t="s">
        <v>11</v>
      </c>
      <c r="E113" t="s">
        <v>293</v>
      </c>
      <c r="F113" t="s">
        <v>293</v>
      </c>
      <c r="G113" t="s">
        <v>294</v>
      </c>
      <c r="H113" t="s">
        <v>295</v>
      </c>
      <c r="I113" t="s">
        <v>294</v>
      </c>
    </row>
    <row r="114" spans="1:9" x14ac:dyDescent="0.2">
      <c r="A114" t="str">
        <f>"8966098223"</f>
        <v>8966098223</v>
      </c>
      <c r="B114" t="s">
        <v>9</v>
      </c>
      <c r="C114" t="s">
        <v>296</v>
      </c>
      <c r="D114" t="s">
        <v>25</v>
      </c>
      <c r="E114" t="s">
        <v>297</v>
      </c>
      <c r="F114" t="s">
        <v>297</v>
      </c>
      <c r="G114" t="s">
        <v>298</v>
      </c>
      <c r="H114" t="s">
        <v>278</v>
      </c>
      <c r="I114" t="s">
        <v>299</v>
      </c>
    </row>
    <row r="115" spans="1:9" x14ac:dyDescent="0.2">
      <c r="A115" t="str">
        <f>"8968885E07"</f>
        <v>8968885E07</v>
      </c>
      <c r="B115" t="s">
        <v>9</v>
      </c>
      <c r="C115" t="s">
        <v>300</v>
      </c>
      <c r="D115" t="s">
        <v>25</v>
      </c>
      <c r="E115" t="s">
        <v>301</v>
      </c>
      <c r="F115" t="s">
        <v>301</v>
      </c>
      <c r="G115" t="s">
        <v>302</v>
      </c>
      <c r="H115" t="s">
        <v>278</v>
      </c>
      <c r="I115" t="s">
        <v>303</v>
      </c>
    </row>
    <row r="116" spans="1:9" x14ac:dyDescent="0.2">
      <c r="A116" t="str">
        <f>"8966076FF7"</f>
        <v>8966076FF7</v>
      </c>
      <c r="B116" t="s">
        <v>9</v>
      </c>
      <c r="C116" t="s">
        <v>304</v>
      </c>
      <c r="D116" t="s">
        <v>25</v>
      </c>
      <c r="E116" t="s">
        <v>301</v>
      </c>
      <c r="F116" t="s">
        <v>301</v>
      </c>
      <c r="G116" t="s">
        <v>305</v>
      </c>
      <c r="H116" t="s">
        <v>278</v>
      </c>
      <c r="I116" t="s">
        <v>306</v>
      </c>
    </row>
    <row r="117" spans="1:9" x14ac:dyDescent="0.2">
      <c r="A117" t="str">
        <f>"9003877A58"</f>
        <v>9003877A58</v>
      </c>
      <c r="B117" t="s">
        <v>9</v>
      </c>
      <c r="C117" t="s">
        <v>307</v>
      </c>
      <c r="D117" t="s">
        <v>11</v>
      </c>
      <c r="E117" t="s">
        <v>297</v>
      </c>
      <c r="F117" t="s">
        <v>297</v>
      </c>
      <c r="G117" t="s">
        <v>308</v>
      </c>
      <c r="H117" t="s">
        <v>295</v>
      </c>
      <c r="I117" t="s">
        <v>308</v>
      </c>
    </row>
    <row r="118" spans="1:9" x14ac:dyDescent="0.2">
      <c r="A118" t="str">
        <f>"89038086CC"</f>
        <v>89038086CC</v>
      </c>
      <c r="B118" t="s">
        <v>9</v>
      </c>
      <c r="C118" t="s">
        <v>309</v>
      </c>
      <c r="D118" t="s">
        <v>11</v>
      </c>
      <c r="E118" t="s">
        <v>161</v>
      </c>
      <c r="F118" t="s">
        <v>161</v>
      </c>
      <c r="G118" t="s">
        <v>310</v>
      </c>
      <c r="H118" t="s">
        <v>311</v>
      </c>
      <c r="I118" t="s">
        <v>310</v>
      </c>
    </row>
    <row r="119" spans="1:9" x14ac:dyDescent="0.2">
      <c r="A119" t="str">
        <f>"885997282F"</f>
        <v>885997282F</v>
      </c>
      <c r="B119" t="s">
        <v>9</v>
      </c>
      <c r="C119" t="s">
        <v>312</v>
      </c>
      <c r="D119" t="s">
        <v>11</v>
      </c>
      <c r="E119" t="s">
        <v>313</v>
      </c>
      <c r="F119" t="s">
        <v>313</v>
      </c>
      <c r="G119" t="s">
        <v>314</v>
      </c>
      <c r="H119" t="s">
        <v>315</v>
      </c>
      <c r="I119" t="s">
        <v>314</v>
      </c>
    </row>
    <row r="120" spans="1:9" x14ac:dyDescent="0.2">
      <c r="A120" t="str">
        <f>"8832752987"</f>
        <v>8832752987</v>
      </c>
      <c r="B120" t="s">
        <v>9</v>
      </c>
      <c r="C120" t="s">
        <v>316</v>
      </c>
      <c r="D120" t="s">
        <v>11</v>
      </c>
      <c r="E120" t="s">
        <v>317</v>
      </c>
      <c r="F120" t="s">
        <v>317</v>
      </c>
      <c r="G120" t="s">
        <v>318</v>
      </c>
      <c r="H120" t="s">
        <v>315</v>
      </c>
      <c r="I120" t="s">
        <v>318</v>
      </c>
    </row>
    <row r="121" spans="1:9" x14ac:dyDescent="0.2">
      <c r="A121" t="str">
        <f>"90220742FE"</f>
        <v>90220742FE</v>
      </c>
      <c r="B121" t="s">
        <v>9</v>
      </c>
      <c r="C121" t="s">
        <v>319</v>
      </c>
      <c r="D121" t="s">
        <v>11</v>
      </c>
      <c r="E121" t="s">
        <v>320</v>
      </c>
      <c r="F121" t="s">
        <v>320</v>
      </c>
      <c r="G121" t="s">
        <v>321</v>
      </c>
      <c r="H121" t="s">
        <v>322</v>
      </c>
      <c r="I121" t="s">
        <v>323</v>
      </c>
    </row>
    <row r="122" spans="1:9" x14ac:dyDescent="0.2">
      <c r="A122" t="str">
        <f>"9042462BB1"</f>
        <v>9042462BB1</v>
      </c>
      <c r="B122" t="s">
        <v>9</v>
      </c>
      <c r="C122" t="s">
        <v>324</v>
      </c>
      <c r="D122" t="s">
        <v>11</v>
      </c>
      <c r="E122" t="s">
        <v>107</v>
      </c>
      <c r="F122" t="s">
        <v>107</v>
      </c>
      <c r="G122" t="s">
        <v>325</v>
      </c>
      <c r="H122" t="s">
        <v>326</v>
      </c>
      <c r="I122" t="s">
        <v>323</v>
      </c>
    </row>
    <row r="123" spans="1:9" x14ac:dyDescent="0.2">
      <c r="A123" t="str">
        <f>"90477539F7"</f>
        <v>90477539F7</v>
      </c>
      <c r="B123" t="s">
        <v>9</v>
      </c>
      <c r="C123" t="s">
        <v>327</v>
      </c>
      <c r="D123" t="s">
        <v>11</v>
      </c>
      <c r="E123" t="s">
        <v>328</v>
      </c>
      <c r="F123" t="s">
        <v>328</v>
      </c>
      <c r="G123" t="s">
        <v>329</v>
      </c>
      <c r="H123" t="s">
        <v>326</v>
      </c>
      <c r="I123" t="s">
        <v>323</v>
      </c>
    </row>
    <row r="124" spans="1:9" x14ac:dyDescent="0.2">
      <c r="A124" t="str">
        <f>"90474965E3"</f>
        <v>90474965E3</v>
      </c>
      <c r="B124" t="s">
        <v>9</v>
      </c>
      <c r="C124" t="s">
        <v>330</v>
      </c>
      <c r="D124" t="s">
        <v>11</v>
      </c>
      <c r="E124" t="s">
        <v>331</v>
      </c>
      <c r="F124" t="s">
        <v>331</v>
      </c>
      <c r="G124" t="s">
        <v>332</v>
      </c>
      <c r="H124" t="s">
        <v>326</v>
      </c>
      <c r="I124" t="s">
        <v>323</v>
      </c>
    </row>
    <row r="125" spans="1:9" x14ac:dyDescent="0.2">
      <c r="A125" t="str">
        <f>"9042428FA1"</f>
        <v>9042428FA1</v>
      </c>
      <c r="B125" t="s">
        <v>9</v>
      </c>
      <c r="C125" t="s">
        <v>333</v>
      </c>
      <c r="D125" t="s">
        <v>11</v>
      </c>
      <c r="E125" t="s">
        <v>334</v>
      </c>
      <c r="F125" t="s">
        <v>334</v>
      </c>
      <c r="G125" t="s">
        <v>335</v>
      </c>
      <c r="H125" t="s">
        <v>326</v>
      </c>
      <c r="I125" t="s">
        <v>323</v>
      </c>
    </row>
    <row r="126" spans="1:9" x14ac:dyDescent="0.2">
      <c r="A126" t="str">
        <f>"9048594FF9"</f>
        <v>9048594FF9</v>
      </c>
      <c r="B126" t="s">
        <v>9</v>
      </c>
      <c r="C126" t="s">
        <v>336</v>
      </c>
      <c r="D126" t="s">
        <v>11</v>
      </c>
      <c r="E126" t="s">
        <v>337</v>
      </c>
      <c r="F126" t="s">
        <v>337</v>
      </c>
      <c r="G126" t="s">
        <v>338</v>
      </c>
      <c r="H126" t="s">
        <v>326</v>
      </c>
      <c r="I126" t="s">
        <v>323</v>
      </c>
    </row>
    <row r="127" spans="1:9" x14ac:dyDescent="0.2">
      <c r="A127" t="str">
        <f>"9038435085"</f>
        <v>9038435085</v>
      </c>
      <c r="B127" t="s">
        <v>9</v>
      </c>
      <c r="C127" t="s">
        <v>339</v>
      </c>
      <c r="D127" t="s">
        <v>11</v>
      </c>
      <c r="E127" t="s">
        <v>340</v>
      </c>
      <c r="F127" t="s">
        <v>340</v>
      </c>
      <c r="G127" t="s">
        <v>341</v>
      </c>
      <c r="H127" t="s">
        <v>326</v>
      </c>
      <c r="I127" t="s">
        <v>323</v>
      </c>
    </row>
    <row r="128" spans="1:9" x14ac:dyDescent="0.2">
      <c r="A128" t="str">
        <f>"9041749F4D"</f>
        <v>9041749F4D</v>
      </c>
      <c r="B128" t="s">
        <v>9</v>
      </c>
      <c r="C128" t="s">
        <v>342</v>
      </c>
      <c r="D128" t="s">
        <v>11</v>
      </c>
      <c r="E128" t="s">
        <v>343</v>
      </c>
      <c r="F128" t="s">
        <v>343</v>
      </c>
      <c r="G128" t="s">
        <v>344</v>
      </c>
      <c r="H128" t="s">
        <v>326</v>
      </c>
      <c r="I128" t="s">
        <v>323</v>
      </c>
    </row>
    <row r="129" spans="1:9" x14ac:dyDescent="0.2">
      <c r="A129" t="str">
        <f>"88549854C9"</f>
        <v>88549854C9</v>
      </c>
      <c r="B129" t="s">
        <v>9</v>
      </c>
      <c r="C129" t="s">
        <v>345</v>
      </c>
      <c r="D129" t="s">
        <v>11</v>
      </c>
      <c r="E129" t="s">
        <v>346</v>
      </c>
      <c r="F129" t="s">
        <v>346</v>
      </c>
      <c r="G129" t="s">
        <v>347</v>
      </c>
      <c r="H129" t="s">
        <v>348</v>
      </c>
      <c r="I129" t="s">
        <v>347</v>
      </c>
    </row>
    <row r="130" spans="1:9" x14ac:dyDescent="0.2">
      <c r="A130" t="str">
        <f>"90481219A6"</f>
        <v>90481219A6</v>
      </c>
      <c r="B130" t="s">
        <v>9</v>
      </c>
      <c r="C130" t="s">
        <v>349</v>
      </c>
      <c r="D130" t="s">
        <v>11</v>
      </c>
      <c r="E130" t="s">
        <v>350</v>
      </c>
      <c r="F130" t="s">
        <v>350</v>
      </c>
      <c r="G130" t="s">
        <v>351</v>
      </c>
      <c r="H130" t="s">
        <v>352</v>
      </c>
    </row>
    <row r="131" spans="1:9" x14ac:dyDescent="0.2">
      <c r="A131" t="str">
        <f>"9048071066"</f>
        <v>9048071066</v>
      </c>
      <c r="B131" t="s">
        <v>9</v>
      </c>
      <c r="C131" t="s">
        <v>353</v>
      </c>
      <c r="D131" t="s">
        <v>11</v>
      </c>
      <c r="E131" t="s">
        <v>46</v>
      </c>
      <c r="F131" t="s">
        <v>46</v>
      </c>
      <c r="G131" t="s">
        <v>354</v>
      </c>
      <c r="H131" t="s">
        <v>355</v>
      </c>
      <c r="I131" t="s">
        <v>354</v>
      </c>
    </row>
    <row r="132" spans="1:9" x14ac:dyDescent="0.2">
      <c r="A132" t="str">
        <f>"90384447F0"</f>
        <v>90384447F0</v>
      </c>
      <c r="B132" t="s">
        <v>9</v>
      </c>
      <c r="C132" t="s">
        <v>356</v>
      </c>
      <c r="D132" t="s">
        <v>11</v>
      </c>
      <c r="E132" t="s">
        <v>357</v>
      </c>
      <c r="F132" t="s">
        <v>357</v>
      </c>
      <c r="G132" t="s">
        <v>358</v>
      </c>
      <c r="H132" t="s">
        <v>359</v>
      </c>
      <c r="I132" t="s">
        <v>323</v>
      </c>
    </row>
    <row r="133" spans="1:9" x14ac:dyDescent="0.2">
      <c r="A133" t="str">
        <f>"903911627F"</f>
        <v>903911627F</v>
      </c>
      <c r="B133" t="s">
        <v>9</v>
      </c>
      <c r="C133" t="s">
        <v>360</v>
      </c>
      <c r="D133" t="s">
        <v>11</v>
      </c>
      <c r="E133" t="s">
        <v>334</v>
      </c>
      <c r="F133" t="s">
        <v>334</v>
      </c>
      <c r="G133" t="s">
        <v>361</v>
      </c>
      <c r="H133" t="s">
        <v>359</v>
      </c>
      <c r="I133" t="s">
        <v>323</v>
      </c>
    </row>
    <row r="134" spans="1:9" x14ac:dyDescent="0.2">
      <c r="A134" t="str">
        <f>"903673881A"</f>
        <v>903673881A</v>
      </c>
      <c r="B134" t="s">
        <v>9</v>
      </c>
      <c r="C134" t="s">
        <v>362</v>
      </c>
      <c r="D134" t="s">
        <v>11</v>
      </c>
      <c r="E134" t="s">
        <v>363</v>
      </c>
      <c r="F134" t="s">
        <v>363</v>
      </c>
      <c r="G134" t="s">
        <v>364</v>
      </c>
      <c r="H134" t="s">
        <v>365</v>
      </c>
      <c r="I134" t="s">
        <v>323</v>
      </c>
    </row>
    <row r="135" spans="1:9" x14ac:dyDescent="0.2">
      <c r="A135" t="str">
        <f>"88637337DC"</f>
        <v>88637337DC</v>
      </c>
      <c r="B135" t="s">
        <v>9</v>
      </c>
      <c r="C135" t="s">
        <v>366</v>
      </c>
      <c r="D135" t="s">
        <v>123</v>
      </c>
      <c r="E135" t="s">
        <v>367</v>
      </c>
      <c r="F135" t="s">
        <v>368</v>
      </c>
      <c r="G135" t="s">
        <v>369</v>
      </c>
      <c r="H135" t="s">
        <v>370</v>
      </c>
    </row>
    <row r="136" spans="1:9" x14ac:dyDescent="0.2">
      <c r="A136" t="str">
        <f>"9031074606"</f>
        <v>9031074606</v>
      </c>
      <c r="B136" t="s">
        <v>9</v>
      </c>
      <c r="C136" t="s">
        <v>371</v>
      </c>
      <c r="D136" t="s">
        <v>11</v>
      </c>
      <c r="E136" t="s">
        <v>372</v>
      </c>
      <c r="F136" t="s">
        <v>372</v>
      </c>
      <c r="G136" t="s">
        <v>373</v>
      </c>
      <c r="H136" t="s">
        <v>374</v>
      </c>
      <c r="I136" t="s">
        <v>323</v>
      </c>
    </row>
    <row r="137" spans="1:9" x14ac:dyDescent="0.2">
      <c r="A137" t="str">
        <f>"90310767AC"</f>
        <v>90310767AC</v>
      </c>
      <c r="B137" t="s">
        <v>9</v>
      </c>
      <c r="C137" t="s">
        <v>375</v>
      </c>
      <c r="D137" t="s">
        <v>11</v>
      </c>
      <c r="E137" t="s">
        <v>376</v>
      </c>
      <c r="F137" t="s">
        <v>376</v>
      </c>
      <c r="G137" t="s">
        <v>377</v>
      </c>
      <c r="H137" t="s">
        <v>378</v>
      </c>
      <c r="I137" t="s">
        <v>323</v>
      </c>
    </row>
    <row r="138" spans="1:9" x14ac:dyDescent="0.2">
      <c r="A138" t="str">
        <f>"9035464CC2"</f>
        <v>9035464CC2</v>
      </c>
      <c r="B138" t="s">
        <v>9</v>
      </c>
      <c r="C138" t="s">
        <v>379</v>
      </c>
      <c r="D138" t="s">
        <v>11</v>
      </c>
      <c r="E138" t="s">
        <v>380</v>
      </c>
      <c r="F138" t="s">
        <v>380</v>
      </c>
      <c r="G138" t="s">
        <v>381</v>
      </c>
      <c r="H138" t="s">
        <v>382</v>
      </c>
    </row>
    <row r="139" spans="1:9" x14ac:dyDescent="0.2">
      <c r="A139" t="str">
        <f>"9004552760"</f>
        <v>9004552760</v>
      </c>
      <c r="B139" t="s">
        <v>9</v>
      </c>
      <c r="C139" t="s">
        <v>383</v>
      </c>
      <c r="D139" t="s">
        <v>11</v>
      </c>
      <c r="E139" t="s">
        <v>12</v>
      </c>
      <c r="F139" t="s">
        <v>12</v>
      </c>
      <c r="G139" t="s">
        <v>384</v>
      </c>
      <c r="H139" t="s">
        <v>385</v>
      </c>
    </row>
    <row r="140" spans="1:9" x14ac:dyDescent="0.2">
      <c r="A140" t="str">
        <f>"9039541138"</f>
        <v>9039541138</v>
      </c>
      <c r="B140" t="s">
        <v>9</v>
      </c>
      <c r="C140" t="s">
        <v>386</v>
      </c>
      <c r="D140" t="s">
        <v>11</v>
      </c>
      <c r="E140" t="s">
        <v>387</v>
      </c>
      <c r="F140" t="s">
        <v>387</v>
      </c>
      <c r="G140" t="s">
        <v>388</v>
      </c>
      <c r="H140" t="s">
        <v>389</v>
      </c>
    </row>
    <row r="141" spans="1:9" x14ac:dyDescent="0.2">
      <c r="A141" t="str">
        <f>"90243465E7"</f>
        <v>90243465E7</v>
      </c>
      <c r="B141" t="s">
        <v>9</v>
      </c>
      <c r="C141" t="s">
        <v>390</v>
      </c>
      <c r="D141" t="s">
        <v>11</v>
      </c>
      <c r="E141" t="s">
        <v>391</v>
      </c>
      <c r="F141" t="s">
        <v>391</v>
      </c>
      <c r="G141" t="s">
        <v>392</v>
      </c>
      <c r="H141" t="s">
        <v>393</v>
      </c>
      <c r="I141" t="s">
        <v>323</v>
      </c>
    </row>
    <row r="142" spans="1:9" x14ac:dyDescent="0.2">
      <c r="A142" t="str">
        <f>"90045261ED"</f>
        <v>90045261ED</v>
      </c>
      <c r="B142" t="s">
        <v>9</v>
      </c>
      <c r="C142" t="s">
        <v>394</v>
      </c>
      <c r="D142" t="s">
        <v>11</v>
      </c>
      <c r="E142" t="s">
        <v>395</v>
      </c>
      <c r="F142" t="s">
        <v>395</v>
      </c>
      <c r="G142" t="s">
        <v>384</v>
      </c>
      <c r="H142" t="s">
        <v>396</v>
      </c>
      <c r="I142" t="s">
        <v>384</v>
      </c>
    </row>
    <row r="143" spans="1:9" x14ac:dyDescent="0.2">
      <c r="A143" t="str">
        <f>"9031072460"</f>
        <v>9031072460</v>
      </c>
      <c r="B143" t="s">
        <v>9</v>
      </c>
      <c r="C143" t="s">
        <v>397</v>
      </c>
      <c r="D143" t="s">
        <v>11</v>
      </c>
      <c r="E143" t="s">
        <v>398</v>
      </c>
      <c r="F143" t="s">
        <v>398</v>
      </c>
      <c r="G143" t="s">
        <v>399</v>
      </c>
      <c r="H143" t="s">
        <v>400</v>
      </c>
      <c r="I143" t="s">
        <v>399</v>
      </c>
    </row>
    <row r="144" spans="1:9" x14ac:dyDescent="0.2">
      <c r="A144" t="str">
        <f>"902893400C"</f>
        <v>902893400C</v>
      </c>
      <c r="B144" t="s">
        <v>9</v>
      </c>
      <c r="C144" t="s">
        <v>401</v>
      </c>
      <c r="D144" t="s">
        <v>37</v>
      </c>
      <c r="E144" t="s">
        <v>402</v>
      </c>
      <c r="F144" t="s">
        <v>402</v>
      </c>
      <c r="G144" t="s">
        <v>403</v>
      </c>
      <c r="H144" t="s">
        <v>404</v>
      </c>
      <c r="I144" t="s">
        <v>403</v>
      </c>
    </row>
    <row r="145" spans="1:9" x14ac:dyDescent="0.2">
      <c r="A145" t="str">
        <f>"8972425756"</f>
        <v>8972425756</v>
      </c>
      <c r="B145" t="s">
        <v>9</v>
      </c>
      <c r="C145" t="s">
        <v>405</v>
      </c>
      <c r="D145" t="s">
        <v>11</v>
      </c>
      <c r="E145" t="s">
        <v>406</v>
      </c>
      <c r="F145" t="s">
        <v>406</v>
      </c>
      <c r="G145" t="s">
        <v>407</v>
      </c>
      <c r="H145" t="s">
        <v>408</v>
      </c>
    </row>
    <row r="146" spans="1:9" x14ac:dyDescent="0.2">
      <c r="A146" t="str">
        <f>"9029752314"</f>
        <v>9029752314</v>
      </c>
      <c r="B146" t="s">
        <v>9</v>
      </c>
      <c r="C146" t="s">
        <v>409</v>
      </c>
      <c r="D146" t="s">
        <v>37</v>
      </c>
      <c r="E146" t="s">
        <v>410</v>
      </c>
      <c r="F146" t="s">
        <v>410</v>
      </c>
      <c r="G146" t="s">
        <v>411</v>
      </c>
      <c r="H146" t="s">
        <v>404</v>
      </c>
      <c r="I146" t="s">
        <v>323</v>
      </c>
    </row>
    <row r="147" spans="1:9" x14ac:dyDescent="0.2">
      <c r="A147" t="str">
        <f>"89562481A9"</f>
        <v>89562481A9</v>
      </c>
      <c r="B147" t="s">
        <v>9</v>
      </c>
      <c r="C147" t="s">
        <v>412</v>
      </c>
      <c r="D147" t="s">
        <v>11</v>
      </c>
      <c r="E147" t="s">
        <v>413</v>
      </c>
      <c r="F147" t="s">
        <v>413</v>
      </c>
      <c r="G147" t="s">
        <v>414</v>
      </c>
      <c r="H147" t="s">
        <v>415</v>
      </c>
      <c r="I147" t="s">
        <v>414</v>
      </c>
    </row>
    <row r="148" spans="1:9" x14ac:dyDescent="0.2">
      <c r="A148" t="str">
        <f>"8994374839"</f>
        <v>8994374839</v>
      </c>
      <c r="B148" t="s">
        <v>9</v>
      </c>
      <c r="C148" t="s">
        <v>416</v>
      </c>
      <c r="D148" t="s">
        <v>11</v>
      </c>
      <c r="E148" t="s">
        <v>417</v>
      </c>
      <c r="F148" t="s">
        <v>417</v>
      </c>
      <c r="G148" t="s">
        <v>418</v>
      </c>
      <c r="H148" t="s">
        <v>419</v>
      </c>
    </row>
    <row r="149" spans="1:9" x14ac:dyDescent="0.2">
      <c r="A149" t="str">
        <f>"892679611A"</f>
        <v>892679611A</v>
      </c>
      <c r="B149" t="s">
        <v>9</v>
      </c>
      <c r="C149" t="s">
        <v>420</v>
      </c>
      <c r="D149" t="s">
        <v>11</v>
      </c>
      <c r="E149" t="s">
        <v>421</v>
      </c>
      <c r="F149" t="s">
        <v>421</v>
      </c>
      <c r="G149" t="s">
        <v>422</v>
      </c>
      <c r="H149" t="s">
        <v>423</v>
      </c>
      <c r="I149" t="s">
        <v>422</v>
      </c>
    </row>
    <row r="150" spans="1:9" x14ac:dyDescent="0.2">
      <c r="A150" t="str">
        <f>"9026083F4F"</f>
        <v>9026083F4F</v>
      </c>
      <c r="B150" t="s">
        <v>9</v>
      </c>
      <c r="C150" t="s">
        <v>424</v>
      </c>
      <c r="D150" t="s">
        <v>11</v>
      </c>
      <c r="E150" t="s">
        <v>425</v>
      </c>
      <c r="F150" t="s">
        <v>425</v>
      </c>
      <c r="G150" t="s">
        <v>426</v>
      </c>
      <c r="H150" t="s">
        <v>427</v>
      </c>
      <c r="I150" t="s">
        <v>426</v>
      </c>
    </row>
    <row r="151" spans="1:9" x14ac:dyDescent="0.2">
      <c r="A151" t="str">
        <f>"901259008D"</f>
        <v>901259008D</v>
      </c>
      <c r="B151" t="s">
        <v>9</v>
      </c>
      <c r="C151" t="s">
        <v>428</v>
      </c>
      <c r="D151" t="s">
        <v>37</v>
      </c>
      <c r="E151" t="s">
        <v>41</v>
      </c>
      <c r="F151" t="s">
        <v>41</v>
      </c>
      <c r="G151" t="s">
        <v>429</v>
      </c>
      <c r="H151" t="s">
        <v>430</v>
      </c>
      <c r="I151" t="s">
        <v>323</v>
      </c>
    </row>
    <row r="152" spans="1:9" x14ac:dyDescent="0.2">
      <c r="A152" t="str">
        <f>"9024608E1A"</f>
        <v>9024608E1A</v>
      </c>
      <c r="B152" t="s">
        <v>9</v>
      </c>
      <c r="C152" t="s">
        <v>431</v>
      </c>
      <c r="D152" t="s">
        <v>11</v>
      </c>
      <c r="E152" t="s">
        <v>432</v>
      </c>
      <c r="F152" t="s">
        <v>432</v>
      </c>
      <c r="G152" t="s">
        <v>433</v>
      </c>
      <c r="H152" t="s">
        <v>434</v>
      </c>
    </row>
    <row r="153" spans="1:9" x14ac:dyDescent="0.2">
      <c r="A153" t="str">
        <f>"90247714A0"</f>
        <v>90247714A0</v>
      </c>
      <c r="B153" t="s">
        <v>9</v>
      </c>
      <c r="C153" t="s">
        <v>435</v>
      </c>
      <c r="D153" t="s">
        <v>11</v>
      </c>
      <c r="E153" t="s">
        <v>436</v>
      </c>
      <c r="F153" t="s">
        <v>436</v>
      </c>
      <c r="G153" t="s">
        <v>437</v>
      </c>
      <c r="H153" t="s">
        <v>434</v>
      </c>
    </row>
    <row r="154" spans="1:9" x14ac:dyDescent="0.2">
      <c r="A154" t="str">
        <f>"90154676B8"</f>
        <v>90154676B8</v>
      </c>
      <c r="B154" t="s">
        <v>9</v>
      </c>
      <c r="C154" t="s">
        <v>438</v>
      </c>
      <c r="D154" t="s">
        <v>11</v>
      </c>
      <c r="E154" t="s">
        <v>439</v>
      </c>
      <c r="F154" t="s">
        <v>439</v>
      </c>
      <c r="G154" t="s">
        <v>440</v>
      </c>
      <c r="H154" t="s">
        <v>441</v>
      </c>
    </row>
    <row r="155" spans="1:9" x14ac:dyDescent="0.2">
      <c r="A155" t="str">
        <f>"9029825F4E"</f>
        <v>9029825F4E</v>
      </c>
      <c r="B155" t="s">
        <v>9</v>
      </c>
      <c r="C155" t="s">
        <v>442</v>
      </c>
      <c r="D155" t="s">
        <v>11</v>
      </c>
      <c r="E155" t="s">
        <v>443</v>
      </c>
      <c r="F155" t="s">
        <v>443</v>
      </c>
      <c r="G155" t="s">
        <v>444</v>
      </c>
      <c r="H155" t="s">
        <v>441</v>
      </c>
    </row>
    <row r="156" spans="1:9" x14ac:dyDescent="0.2">
      <c r="A156" t="str">
        <f>"9005351ABA"</f>
        <v>9005351ABA</v>
      </c>
      <c r="B156" t="s">
        <v>9</v>
      </c>
      <c r="C156" t="s">
        <v>445</v>
      </c>
      <c r="D156" t="s">
        <v>11</v>
      </c>
      <c r="E156" t="s">
        <v>398</v>
      </c>
      <c r="F156" t="s">
        <v>398</v>
      </c>
      <c r="G156" t="s">
        <v>446</v>
      </c>
      <c r="H156" t="s">
        <v>447</v>
      </c>
      <c r="I156" t="s">
        <v>323</v>
      </c>
    </row>
    <row r="157" spans="1:9" x14ac:dyDescent="0.2">
      <c r="A157" t="str">
        <f>"9011876356"</f>
        <v>9011876356</v>
      </c>
      <c r="B157" t="s">
        <v>9</v>
      </c>
      <c r="C157" t="s">
        <v>448</v>
      </c>
      <c r="D157" t="s">
        <v>11</v>
      </c>
      <c r="E157" t="s">
        <v>449</v>
      </c>
      <c r="F157" t="s">
        <v>449</v>
      </c>
      <c r="G157" t="s">
        <v>450</v>
      </c>
      <c r="H157" t="s">
        <v>451</v>
      </c>
      <c r="I157" t="s">
        <v>323</v>
      </c>
    </row>
    <row r="158" spans="1:9" x14ac:dyDescent="0.2">
      <c r="A158" t="str">
        <f>"9012790597"</f>
        <v>9012790597</v>
      </c>
      <c r="B158" t="s">
        <v>9</v>
      </c>
      <c r="C158" t="s">
        <v>452</v>
      </c>
      <c r="D158" t="s">
        <v>37</v>
      </c>
      <c r="E158" t="s">
        <v>41</v>
      </c>
      <c r="F158" t="s">
        <v>41</v>
      </c>
      <c r="G158" t="s">
        <v>453</v>
      </c>
      <c r="H158" t="s">
        <v>454</v>
      </c>
      <c r="I158" t="s">
        <v>453</v>
      </c>
    </row>
    <row r="159" spans="1:9" x14ac:dyDescent="0.2">
      <c r="A159" t="str">
        <f>"90174413B8"</f>
        <v>90174413B8</v>
      </c>
      <c r="B159" t="s">
        <v>9</v>
      </c>
      <c r="C159" t="s">
        <v>455</v>
      </c>
      <c r="D159" t="s">
        <v>11</v>
      </c>
      <c r="E159" t="s">
        <v>46</v>
      </c>
      <c r="F159" t="s">
        <v>46</v>
      </c>
      <c r="G159" t="s">
        <v>456</v>
      </c>
      <c r="H159" t="s">
        <v>454</v>
      </c>
      <c r="I159" t="s">
        <v>456</v>
      </c>
    </row>
    <row r="160" spans="1:9" x14ac:dyDescent="0.2">
      <c r="A160" t="str">
        <f>"901186389A"</f>
        <v>901186389A</v>
      </c>
      <c r="B160" t="s">
        <v>9</v>
      </c>
      <c r="C160" t="s">
        <v>457</v>
      </c>
      <c r="D160" t="s">
        <v>11</v>
      </c>
      <c r="E160" t="s">
        <v>458</v>
      </c>
      <c r="F160" t="s">
        <v>458</v>
      </c>
      <c r="G160" t="s">
        <v>459</v>
      </c>
      <c r="H160" t="s">
        <v>451</v>
      </c>
      <c r="I160" t="s">
        <v>323</v>
      </c>
    </row>
    <row r="161" spans="1:9" x14ac:dyDescent="0.2">
      <c r="A161" t="str">
        <f>"9009020E7A"</f>
        <v>9009020E7A</v>
      </c>
      <c r="B161" t="s">
        <v>9</v>
      </c>
      <c r="C161" t="s">
        <v>460</v>
      </c>
      <c r="D161" t="s">
        <v>11</v>
      </c>
      <c r="E161" t="s">
        <v>461</v>
      </c>
      <c r="F161" t="s">
        <v>461</v>
      </c>
      <c r="G161" t="s">
        <v>462</v>
      </c>
      <c r="H161" t="s">
        <v>463</v>
      </c>
    </row>
    <row r="162" spans="1:9" x14ac:dyDescent="0.2">
      <c r="A162" t="str">
        <f>"899189065D"</f>
        <v>899189065D</v>
      </c>
      <c r="B162" t="s">
        <v>9</v>
      </c>
      <c r="C162" t="s">
        <v>464</v>
      </c>
      <c r="D162" t="s">
        <v>11</v>
      </c>
      <c r="E162" t="s">
        <v>465</v>
      </c>
      <c r="F162" t="s">
        <v>465</v>
      </c>
      <c r="G162" t="s">
        <v>466</v>
      </c>
      <c r="H162" t="s">
        <v>467</v>
      </c>
      <c r="I162" t="s">
        <v>323</v>
      </c>
    </row>
    <row r="163" spans="1:9" x14ac:dyDescent="0.2">
      <c r="A163" t="str">
        <f>"90094598C2"</f>
        <v>90094598C2</v>
      </c>
      <c r="B163" t="s">
        <v>9</v>
      </c>
      <c r="C163" t="s">
        <v>468</v>
      </c>
      <c r="D163" t="s">
        <v>11</v>
      </c>
      <c r="E163" t="s">
        <v>449</v>
      </c>
      <c r="F163" t="s">
        <v>449</v>
      </c>
      <c r="G163" t="s">
        <v>469</v>
      </c>
      <c r="H163" t="s">
        <v>470</v>
      </c>
      <c r="I163" t="s">
        <v>323</v>
      </c>
    </row>
    <row r="164" spans="1:9" x14ac:dyDescent="0.2">
      <c r="A164" t="str">
        <f>"9002148788"</f>
        <v>9002148788</v>
      </c>
      <c r="B164" t="s">
        <v>9</v>
      </c>
      <c r="C164" t="s">
        <v>471</v>
      </c>
      <c r="D164" t="s">
        <v>11</v>
      </c>
      <c r="E164" t="s">
        <v>472</v>
      </c>
      <c r="F164" t="s">
        <v>472</v>
      </c>
      <c r="G164" t="s">
        <v>473</v>
      </c>
      <c r="H164" t="s">
        <v>470</v>
      </c>
      <c r="I164" t="s">
        <v>323</v>
      </c>
    </row>
    <row r="165" spans="1:9" x14ac:dyDescent="0.2">
      <c r="A165" t="str">
        <f>"899410061D"</f>
        <v>899410061D</v>
      </c>
      <c r="B165" t="s">
        <v>9</v>
      </c>
      <c r="C165" t="s">
        <v>474</v>
      </c>
      <c r="D165" t="s">
        <v>11</v>
      </c>
      <c r="E165" t="s">
        <v>270</v>
      </c>
      <c r="F165" t="s">
        <v>270</v>
      </c>
      <c r="G165" t="s">
        <v>475</v>
      </c>
      <c r="H165" t="s">
        <v>476</v>
      </c>
      <c r="I165" t="s">
        <v>475</v>
      </c>
    </row>
    <row r="166" spans="1:9" x14ac:dyDescent="0.2">
      <c r="A166" t="str">
        <f>"90477328A3"</f>
        <v>90477328A3</v>
      </c>
      <c r="B166" t="s">
        <v>9</v>
      </c>
      <c r="C166" t="s">
        <v>477</v>
      </c>
      <c r="D166" t="s">
        <v>11</v>
      </c>
      <c r="E166" t="s">
        <v>478</v>
      </c>
      <c r="F166" t="s">
        <v>478</v>
      </c>
      <c r="G166" t="s">
        <v>479</v>
      </c>
      <c r="H166" t="s">
        <v>480</v>
      </c>
    </row>
    <row r="167" spans="1:9" x14ac:dyDescent="0.2">
      <c r="A167" t="str">
        <f>"89903721AD"</f>
        <v>89903721AD</v>
      </c>
      <c r="B167" t="s">
        <v>9</v>
      </c>
      <c r="C167" t="s">
        <v>481</v>
      </c>
      <c r="D167" t="s">
        <v>11</v>
      </c>
      <c r="E167" t="s">
        <v>46</v>
      </c>
      <c r="F167" t="s">
        <v>46</v>
      </c>
      <c r="G167" t="s">
        <v>482</v>
      </c>
      <c r="H167" t="s">
        <v>476</v>
      </c>
      <c r="I167" t="s">
        <v>482</v>
      </c>
    </row>
    <row r="168" spans="1:9" x14ac:dyDescent="0.2">
      <c r="A168" t="str">
        <f>"9022802BBF"</f>
        <v>9022802BBF</v>
      </c>
      <c r="B168" t="s">
        <v>9</v>
      </c>
      <c r="C168" t="s">
        <v>483</v>
      </c>
      <c r="D168" t="s">
        <v>11</v>
      </c>
      <c r="E168" t="s">
        <v>484</v>
      </c>
      <c r="F168" t="s">
        <v>484</v>
      </c>
      <c r="G168" t="s">
        <v>485</v>
      </c>
      <c r="H168" t="s">
        <v>480</v>
      </c>
    </row>
    <row r="169" spans="1:9" x14ac:dyDescent="0.2">
      <c r="A169" t="str">
        <f>"8972469BA4"</f>
        <v>8972469BA4</v>
      </c>
      <c r="B169" t="s">
        <v>9</v>
      </c>
      <c r="C169" t="s">
        <v>486</v>
      </c>
      <c r="D169" t="s">
        <v>11</v>
      </c>
      <c r="E169" t="s">
        <v>487</v>
      </c>
      <c r="F169" t="s">
        <v>487</v>
      </c>
      <c r="G169" t="s">
        <v>488</v>
      </c>
      <c r="H169" t="s">
        <v>489</v>
      </c>
      <c r="I169" t="s">
        <v>490</v>
      </c>
    </row>
    <row r="170" spans="1:9" x14ac:dyDescent="0.2">
      <c r="A170" t="str">
        <f>"8990192D1F"</f>
        <v>8990192D1F</v>
      </c>
      <c r="B170" t="s">
        <v>9</v>
      </c>
      <c r="C170" t="s">
        <v>491</v>
      </c>
      <c r="D170" t="s">
        <v>11</v>
      </c>
      <c r="E170" t="s">
        <v>41</v>
      </c>
      <c r="F170" t="s">
        <v>41</v>
      </c>
      <c r="G170" t="s">
        <v>492</v>
      </c>
      <c r="H170" t="s">
        <v>480</v>
      </c>
    </row>
    <row r="171" spans="1:9" x14ac:dyDescent="0.2">
      <c r="A171" t="str">
        <f>"8990292FA4"</f>
        <v>8990292FA4</v>
      </c>
      <c r="B171" t="s">
        <v>9</v>
      </c>
      <c r="C171" t="s">
        <v>493</v>
      </c>
      <c r="D171" t="s">
        <v>37</v>
      </c>
      <c r="E171" t="s">
        <v>41</v>
      </c>
      <c r="F171" t="s">
        <v>41</v>
      </c>
      <c r="G171" t="s">
        <v>494</v>
      </c>
      <c r="H171" t="s">
        <v>480</v>
      </c>
    </row>
    <row r="172" spans="1:9" x14ac:dyDescent="0.2">
      <c r="A172" t="str">
        <f>"8989763B1A"</f>
        <v>8989763B1A</v>
      </c>
      <c r="B172" t="s">
        <v>9</v>
      </c>
      <c r="C172" t="s">
        <v>495</v>
      </c>
      <c r="D172" t="s">
        <v>37</v>
      </c>
      <c r="E172" t="s">
        <v>41</v>
      </c>
      <c r="F172" t="s">
        <v>41</v>
      </c>
      <c r="G172" t="s">
        <v>496</v>
      </c>
      <c r="H172" t="s">
        <v>480</v>
      </c>
    </row>
    <row r="173" spans="1:9" x14ac:dyDescent="0.2">
      <c r="A173" t="str">
        <f>"904797512D"</f>
        <v>904797512D</v>
      </c>
      <c r="B173" t="s">
        <v>9</v>
      </c>
      <c r="C173" t="s">
        <v>497</v>
      </c>
      <c r="D173" t="s">
        <v>11</v>
      </c>
      <c r="E173" t="s">
        <v>46</v>
      </c>
      <c r="F173" t="s">
        <v>46</v>
      </c>
      <c r="G173" t="s">
        <v>498</v>
      </c>
      <c r="H173" t="s">
        <v>476</v>
      </c>
      <c r="I173" t="s">
        <v>498</v>
      </c>
    </row>
    <row r="174" spans="1:9" x14ac:dyDescent="0.2">
      <c r="A174" t="str">
        <f>"8989893663"</f>
        <v>8989893663</v>
      </c>
      <c r="B174" t="s">
        <v>9</v>
      </c>
      <c r="C174" t="s">
        <v>499</v>
      </c>
      <c r="D174" t="s">
        <v>37</v>
      </c>
      <c r="E174" t="s">
        <v>41</v>
      </c>
      <c r="F174" t="s">
        <v>41</v>
      </c>
      <c r="G174" t="s">
        <v>500</v>
      </c>
      <c r="H174" t="s">
        <v>480</v>
      </c>
    </row>
    <row r="175" spans="1:9" x14ac:dyDescent="0.2">
      <c r="A175" t="str">
        <f>"89269754D0"</f>
        <v>89269754D0</v>
      </c>
      <c r="B175" t="s">
        <v>9</v>
      </c>
      <c r="C175" t="s">
        <v>501</v>
      </c>
      <c r="D175" t="s">
        <v>11</v>
      </c>
      <c r="E175" t="s">
        <v>502</v>
      </c>
      <c r="F175" t="s">
        <v>502</v>
      </c>
      <c r="G175" t="s">
        <v>503</v>
      </c>
      <c r="H175" t="s">
        <v>480</v>
      </c>
    </row>
    <row r="176" spans="1:9" x14ac:dyDescent="0.2">
      <c r="A176" t="str">
        <f>"90153749F8"</f>
        <v>90153749F8</v>
      </c>
      <c r="B176" t="s">
        <v>9</v>
      </c>
      <c r="C176" t="s">
        <v>504</v>
      </c>
      <c r="D176" t="s">
        <v>37</v>
      </c>
      <c r="E176" t="s">
        <v>505</v>
      </c>
      <c r="F176" t="s">
        <v>505</v>
      </c>
      <c r="G176" t="s">
        <v>506</v>
      </c>
      <c r="H176" t="s">
        <v>480</v>
      </c>
    </row>
    <row r="177" spans="1:9" x14ac:dyDescent="0.2">
      <c r="A177" t="str">
        <f>"8989952713"</f>
        <v>8989952713</v>
      </c>
      <c r="B177" t="s">
        <v>9</v>
      </c>
      <c r="C177" t="s">
        <v>507</v>
      </c>
      <c r="D177" t="s">
        <v>37</v>
      </c>
      <c r="E177" t="s">
        <v>41</v>
      </c>
      <c r="F177" t="s">
        <v>41</v>
      </c>
      <c r="G177" t="s">
        <v>508</v>
      </c>
      <c r="H177" t="s">
        <v>480</v>
      </c>
    </row>
    <row r="178" spans="1:9" x14ac:dyDescent="0.2">
      <c r="A178" t="str">
        <f>"89693562B9"</f>
        <v>89693562B9</v>
      </c>
      <c r="B178" t="s">
        <v>9</v>
      </c>
      <c r="C178" t="s">
        <v>509</v>
      </c>
      <c r="D178" t="s">
        <v>11</v>
      </c>
      <c r="E178" t="s">
        <v>510</v>
      </c>
      <c r="F178" t="s">
        <v>510</v>
      </c>
      <c r="G178" t="s">
        <v>511</v>
      </c>
      <c r="H178" t="s">
        <v>512</v>
      </c>
    </row>
    <row r="179" spans="1:9" x14ac:dyDescent="0.2">
      <c r="A179" t="str">
        <f>"8968934679"</f>
        <v>8968934679</v>
      </c>
      <c r="B179" t="s">
        <v>9</v>
      </c>
      <c r="C179" t="s">
        <v>513</v>
      </c>
      <c r="D179" t="s">
        <v>11</v>
      </c>
      <c r="E179" t="s">
        <v>514</v>
      </c>
      <c r="F179" t="s">
        <v>514</v>
      </c>
      <c r="G179" t="s">
        <v>515</v>
      </c>
      <c r="H179" t="s">
        <v>512</v>
      </c>
    </row>
    <row r="180" spans="1:9" x14ac:dyDescent="0.2">
      <c r="A180" t="str">
        <f>"8942649B66"</f>
        <v>8942649B66</v>
      </c>
      <c r="B180" t="s">
        <v>9</v>
      </c>
      <c r="C180" t="s">
        <v>516</v>
      </c>
      <c r="D180" t="s">
        <v>11</v>
      </c>
      <c r="E180" t="s">
        <v>41</v>
      </c>
      <c r="F180" t="s">
        <v>41</v>
      </c>
      <c r="G180" t="s">
        <v>517</v>
      </c>
      <c r="H180" t="s">
        <v>518</v>
      </c>
      <c r="I180" t="s">
        <v>519</v>
      </c>
    </row>
    <row r="181" spans="1:9" x14ac:dyDescent="0.2">
      <c r="A181" t="str">
        <f>"89420973E2"</f>
        <v>89420973E2</v>
      </c>
      <c r="B181" t="s">
        <v>9</v>
      </c>
      <c r="C181" t="s">
        <v>520</v>
      </c>
      <c r="D181" t="s">
        <v>11</v>
      </c>
      <c r="E181" t="s">
        <v>41</v>
      </c>
      <c r="F181" t="s">
        <v>41</v>
      </c>
      <c r="G181" t="s">
        <v>521</v>
      </c>
      <c r="H181" t="s">
        <v>518</v>
      </c>
      <c r="I181" t="s">
        <v>521</v>
      </c>
    </row>
    <row r="182" spans="1:9" x14ac:dyDescent="0.2">
      <c r="A182" t="str">
        <f>"8942451802"</f>
        <v>8942451802</v>
      </c>
      <c r="B182" t="s">
        <v>9</v>
      </c>
      <c r="C182" t="s">
        <v>522</v>
      </c>
      <c r="D182" t="s">
        <v>11</v>
      </c>
      <c r="E182" t="s">
        <v>41</v>
      </c>
      <c r="F182" t="s">
        <v>41</v>
      </c>
      <c r="G182" t="s">
        <v>523</v>
      </c>
      <c r="H182" t="s">
        <v>518</v>
      </c>
      <c r="I182" t="s">
        <v>523</v>
      </c>
    </row>
    <row r="183" spans="1:9" x14ac:dyDescent="0.2">
      <c r="A183" t="str">
        <f>"898855670F"</f>
        <v>898855670F</v>
      </c>
      <c r="B183" t="s">
        <v>9</v>
      </c>
      <c r="C183" t="s">
        <v>524</v>
      </c>
      <c r="D183" t="s">
        <v>11</v>
      </c>
      <c r="E183" t="s">
        <v>525</v>
      </c>
      <c r="F183" t="s">
        <v>525</v>
      </c>
      <c r="G183" t="s">
        <v>526</v>
      </c>
      <c r="H183" t="s">
        <v>527</v>
      </c>
      <c r="I183" t="s">
        <v>526</v>
      </c>
    </row>
    <row r="184" spans="1:9" x14ac:dyDescent="0.2">
      <c r="A184" t="str">
        <f>"8998297D94"</f>
        <v>8998297D94</v>
      </c>
      <c r="B184" t="s">
        <v>9</v>
      </c>
      <c r="C184" t="s">
        <v>528</v>
      </c>
      <c r="D184" t="s">
        <v>11</v>
      </c>
      <c r="E184" t="s">
        <v>270</v>
      </c>
      <c r="F184" t="s">
        <v>270</v>
      </c>
      <c r="G184" t="s">
        <v>529</v>
      </c>
      <c r="H184" t="s">
        <v>530</v>
      </c>
      <c r="I184" t="s">
        <v>529</v>
      </c>
    </row>
    <row r="185" spans="1:9" x14ac:dyDescent="0.2">
      <c r="A185" t="str">
        <f>"898749075E"</f>
        <v>898749075E</v>
      </c>
      <c r="B185" t="s">
        <v>9</v>
      </c>
      <c r="C185" t="s">
        <v>531</v>
      </c>
      <c r="D185" t="s">
        <v>11</v>
      </c>
      <c r="E185" t="s">
        <v>532</v>
      </c>
      <c r="F185" t="s">
        <v>532</v>
      </c>
      <c r="G185" t="s">
        <v>533</v>
      </c>
      <c r="H185" t="s">
        <v>534</v>
      </c>
    </row>
    <row r="186" spans="1:9" x14ac:dyDescent="0.2">
      <c r="A186" t="str">
        <f>"897639537D"</f>
        <v>897639537D</v>
      </c>
      <c r="B186" t="s">
        <v>9</v>
      </c>
      <c r="C186" t="s">
        <v>486</v>
      </c>
      <c r="D186" t="s">
        <v>11</v>
      </c>
      <c r="E186" t="s">
        <v>391</v>
      </c>
      <c r="F186" t="s">
        <v>391</v>
      </c>
      <c r="G186" t="s">
        <v>535</v>
      </c>
      <c r="H186" t="s">
        <v>536</v>
      </c>
      <c r="I186" t="s">
        <v>535</v>
      </c>
    </row>
    <row r="187" spans="1:9" x14ac:dyDescent="0.2">
      <c r="A187" t="str">
        <f>"89883068C0"</f>
        <v>89883068C0</v>
      </c>
      <c r="B187" t="s">
        <v>9</v>
      </c>
      <c r="C187" t="s">
        <v>537</v>
      </c>
      <c r="D187" t="s">
        <v>11</v>
      </c>
      <c r="E187" t="s">
        <v>41</v>
      </c>
      <c r="F187" t="s">
        <v>41</v>
      </c>
      <c r="G187" t="s">
        <v>538</v>
      </c>
      <c r="H187" t="s">
        <v>539</v>
      </c>
      <c r="I187" t="s">
        <v>323</v>
      </c>
    </row>
    <row r="188" spans="1:9" x14ac:dyDescent="0.2">
      <c r="A188" t="str">
        <f>"8980316732"</f>
        <v>8980316732</v>
      </c>
      <c r="B188" t="s">
        <v>9</v>
      </c>
      <c r="C188" t="s">
        <v>540</v>
      </c>
      <c r="D188" t="s">
        <v>11</v>
      </c>
      <c r="E188" t="s">
        <v>541</v>
      </c>
      <c r="F188" t="s">
        <v>541</v>
      </c>
      <c r="G188" t="s">
        <v>542</v>
      </c>
      <c r="H188" t="s">
        <v>543</v>
      </c>
      <c r="I188" t="s">
        <v>542</v>
      </c>
    </row>
    <row r="189" spans="1:9" x14ac:dyDescent="0.2">
      <c r="A189" t="str">
        <f>"8982793349"</f>
        <v>8982793349</v>
      </c>
      <c r="B189" t="s">
        <v>9</v>
      </c>
      <c r="C189" t="s">
        <v>537</v>
      </c>
      <c r="D189" t="s">
        <v>37</v>
      </c>
      <c r="E189" t="s">
        <v>41</v>
      </c>
      <c r="F189" t="s">
        <v>41</v>
      </c>
      <c r="G189" t="s">
        <v>544</v>
      </c>
      <c r="H189" t="s">
        <v>545</v>
      </c>
      <c r="I189" t="s">
        <v>323</v>
      </c>
    </row>
    <row r="190" spans="1:9" x14ac:dyDescent="0.2">
      <c r="A190" t="str">
        <f>"8982805D2D"</f>
        <v>8982805D2D</v>
      </c>
      <c r="B190" t="s">
        <v>9</v>
      </c>
      <c r="C190" t="s">
        <v>546</v>
      </c>
      <c r="D190" t="s">
        <v>11</v>
      </c>
      <c r="E190" t="s">
        <v>83</v>
      </c>
      <c r="F190" t="s">
        <v>83</v>
      </c>
      <c r="G190" t="s">
        <v>547</v>
      </c>
      <c r="H190" t="s">
        <v>548</v>
      </c>
      <c r="I190" t="s">
        <v>547</v>
      </c>
    </row>
    <row r="191" spans="1:9" x14ac:dyDescent="0.2">
      <c r="A191" t="str">
        <f>"89696705D7"</f>
        <v>89696705D7</v>
      </c>
      <c r="B191" t="s">
        <v>9</v>
      </c>
      <c r="C191" t="s">
        <v>549</v>
      </c>
      <c r="D191" t="s">
        <v>11</v>
      </c>
      <c r="E191" t="s">
        <v>550</v>
      </c>
      <c r="F191" t="s">
        <v>550</v>
      </c>
      <c r="G191" t="s">
        <v>551</v>
      </c>
      <c r="H191" t="s">
        <v>552</v>
      </c>
      <c r="I191" t="s">
        <v>551</v>
      </c>
    </row>
    <row r="192" spans="1:9" x14ac:dyDescent="0.2">
      <c r="A192" t="str">
        <f>"8969660D94"</f>
        <v>8969660D94</v>
      </c>
      <c r="B192" t="s">
        <v>9</v>
      </c>
      <c r="C192" t="s">
        <v>553</v>
      </c>
      <c r="D192" t="s">
        <v>11</v>
      </c>
      <c r="E192" t="s">
        <v>340</v>
      </c>
      <c r="F192" t="s">
        <v>340</v>
      </c>
      <c r="G192" t="s">
        <v>554</v>
      </c>
      <c r="H192" t="s">
        <v>555</v>
      </c>
      <c r="I192" t="s">
        <v>554</v>
      </c>
    </row>
    <row r="193" spans="1:9" x14ac:dyDescent="0.2">
      <c r="A193" t="str">
        <f>"8969650556"</f>
        <v>8969650556</v>
      </c>
      <c r="B193" t="s">
        <v>9</v>
      </c>
      <c r="C193" t="s">
        <v>556</v>
      </c>
      <c r="D193" t="s">
        <v>11</v>
      </c>
      <c r="E193" t="s">
        <v>557</v>
      </c>
      <c r="F193" t="s">
        <v>557</v>
      </c>
      <c r="G193" t="s">
        <v>558</v>
      </c>
      <c r="H193" t="s">
        <v>559</v>
      </c>
      <c r="I193" t="s">
        <v>558</v>
      </c>
    </row>
    <row r="194" spans="1:9" x14ac:dyDescent="0.2">
      <c r="A194" t="str">
        <f>"8975066AC1"</f>
        <v>8975066AC1</v>
      </c>
      <c r="B194" t="s">
        <v>9</v>
      </c>
      <c r="C194" t="s">
        <v>560</v>
      </c>
      <c r="D194" t="s">
        <v>11</v>
      </c>
      <c r="E194" t="s">
        <v>561</v>
      </c>
      <c r="F194" t="s">
        <v>561</v>
      </c>
      <c r="G194" t="s">
        <v>496</v>
      </c>
      <c r="H194" t="s">
        <v>562</v>
      </c>
      <c r="I194" t="s">
        <v>496</v>
      </c>
    </row>
    <row r="195" spans="1:9" x14ac:dyDescent="0.2">
      <c r="A195" t="str">
        <f>"8976833CED"</f>
        <v>8976833CED</v>
      </c>
      <c r="B195" t="s">
        <v>9</v>
      </c>
      <c r="C195" t="s">
        <v>563</v>
      </c>
      <c r="D195" t="s">
        <v>37</v>
      </c>
      <c r="E195" t="s">
        <v>41</v>
      </c>
      <c r="F195" t="s">
        <v>41</v>
      </c>
      <c r="G195" t="s">
        <v>564</v>
      </c>
      <c r="H195" t="s">
        <v>565</v>
      </c>
      <c r="I195" t="s">
        <v>566</v>
      </c>
    </row>
    <row r="196" spans="1:9" x14ac:dyDescent="0.2">
      <c r="A196" t="str">
        <f>"894204267E"</f>
        <v>894204267E</v>
      </c>
      <c r="B196" t="s">
        <v>9</v>
      </c>
      <c r="C196" t="s">
        <v>567</v>
      </c>
      <c r="D196" t="s">
        <v>37</v>
      </c>
      <c r="E196" t="s">
        <v>41</v>
      </c>
      <c r="F196" t="s">
        <v>41</v>
      </c>
      <c r="G196" t="s">
        <v>568</v>
      </c>
      <c r="H196" t="s">
        <v>569</v>
      </c>
      <c r="I196" t="s">
        <v>568</v>
      </c>
    </row>
    <row r="197" spans="1:9" x14ac:dyDescent="0.2">
      <c r="A197" t="str">
        <f>"8969403980"</f>
        <v>8969403980</v>
      </c>
      <c r="B197" t="s">
        <v>9</v>
      </c>
      <c r="C197" t="s">
        <v>570</v>
      </c>
      <c r="D197" t="s">
        <v>11</v>
      </c>
      <c r="E197" t="s">
        <v>571</v>
      </c>
      <c r="F197" t="s">
        <v>571</v>
      </c>
      <c r="G197" t="s">
        <v>572</v>
      </c>
      <c r="H197" t="s">
        <v>573</v>
      </c>
      <c r="I197" t="s">
        <v>572</v>
      </c>
    </row>
    <row r="198" spans="1:9" x14ac:dyDescent="0.2">
      <c r="A198" t="str">
        <f>"89723877FA"</f>
        <v>89723877FA</v>
      </c>
      <c r="B198" t="s">
        <v>9</v>
      </c>
      <c r="C198" t="s">
        <v>574</v>
      </c>
      <c r="D198" t="s">
        <v>11</v>
      </c>
      <c r="E198" t="s">
        <v>575</v>
      </c>
      <c r="F198" t="s">
        <v>575</v>
      </c>
      <c r="G198" t="s">
        <v>576</v>
      </c>
      <c r="H198" t="s">
        <v>573</v>
      </c>
      <c r="I198" t="s">
        <v>576</v>
      </c>
    </row>
    <row r="199" spans="1:9" x14ac:dyDescent="0.2">
      <c r="A199" t="str">
        <f>"8963846FB6"</f>
        <v>8963846FB6</v>
      </c>
      <c r="B199" t="s">
        <v>9</v>
      </c>
      <c r="C199" t="s">
        <v>577</v>
      </c>
      <c r="D199" t="s">
        <v>37</v>
      </c>
      <c r="E199" t="s">
        <v>41</v>
      </c>
      <c r="F199" t="s">
        <v>41</v>
      </c>
      <c r="G199" t="s">
        <v>578</v>
      </c>
      <c r="H199" t="s">
        <v>579</v>
      </c>
      <c r="I199" t="s">
        <v>578</v>
      </c>
    </row>
    <row r="200" spans="1:9" x14ac:dyDescent="0.2">
      <c r="A200" t="str">
        <f>"87862155FC"</f>
        <v>87862155FC</v>
      </c>
      <c r="B200" t="s">
        <v>9</v>
      </c>
      <c r="C200" t="s">
        <v>580</v>
      </c>
      <c r="D200" t="s">
        <v>11</v>
      </c>
      <c r="E200" t="s">
        <v>581</v>
      </c>
      <c r="F200" t="s">
        <v>581</v>
      </c>
      <c r="G200" t="s">
        <v>582</v>
      </c>
      <c r="H200" t="s">
        <v>583</v>
      </c>
      <c r="I200" t="s">
        <v>582</v>
      </c>
    </row>
    <row r="201" spans="1:9" x14ac:dyDescent="0.2">
      <c r="A201" t="str">
        <f>"890392140D"</f>
        <v>890392140D</v>
      </c>
      <c r="B201" t="s">
        <v>9</v>
      </c>
      <c r="C201" t="s">
        <v>584</v>
      </c>
      <c r="D201" t="s">
        <v>11</v>
      </c>
      <c r="E201" t="s">
        <v>46</v>
      </c>
      <c r="F201" t="s">
        <v>46</v>
      </c>
      <c r="G201" t="s">
        <v>354</v>
      </c>
      <c r="H201" t="s">
        <v>585</v>
      </c>
      <c r="I201" t="s">
        <v>354</v>
      </c>
    </row>
    <row r="202" spans="1:9" x14ac:dyDescent="0.2">
      <c r="A202" t="str">
        <f>"89270090E0"</f>
        <v>89270090E0</v>
      </c>
      <c r="B202" t="s">
        <v>9</v>
      </c>
      <c r="C202" t="s">
        <v>586</v>
      </c>
      <c r="D202" t="s">
        <v>11</v>
      </c>
      <c r="E202" t="s">
        <v>587</v>
      </c>
      <c r="F202" t="s">
        <v>587</v>
      </c>
      <c r="G202" t="s">
        <v>588</v>
      </c>
      <c r="H202" t="s">
        <v>589</v>
      </c>
      <c r="I202" t="s">
        <v>588</v>
      </c>
    </row>
    <row r="203" spans="1:9" x14ac:dyDescent="0.2">
      <c r="A203" t="str">
        <f>"895968237C"</f>
        <v>895968237C</v>
      </c>
      <c r="B203" t="s">
        <v>9</v>
      </c>
      <c r="C203" t="s">
        <v>590</v>
      </c>
      <c r="D203" t="s">
        <v>11</v>
      </c>
      <c r="E203" t="s">
        <v>188</v>
      </c>
      <c r="F203" t="s">
        <v>188</v>
      </c>
      <c r="G203" t="s">
        <v>591</v>
      </c>
      <c r="H203" t="s">
        <v>592</v>
      </c>
      <c r="I203" t="s">
        <v>591</v>
      </c>
    </row>
    <row r="204" spans="1:9" x14ac:dyDescent="0.2">
      <c r="A204" t="str">
        <f>"8949421FD3"</f>
        <v>8949421FD3</v>
      </c>
      <c r="B204" t="s">
        <v>9</v>
      </c>
      <c r="C204" t="s">
        <v>593</v>
      </c>
      <c r="D204" t="s">
        <v>11</v>
      </c>
      <c r="E204" t="s">
        <v>594</v>
      </c>
      <c r="F204" t="s">
        <v>594</v>
      </c>
      <c r="G204" t="s">
        <v>595</v>
      </c>
      <c r="H204" t="s">
        <v>596</v>
      </c>
      <c r="I204" t="s">
        <v>595</v>
      </c>
    </row>
    <row r="205" spans="1:9" x14ac:dyDescent="0.2">
      <c r="A205" t="str">
        <f>"8947147B44"</f>
        <v>8947147B44</v>
      </c>
      <c r="B205" t="s">
        <v>9</v>
      </c>
      <c r="C205" t="s">
        <v>597</v>
      </c>
      <c r="D205" t="s">
        <v>11</v>
      </c>
      <c r="E205" t="s">
        <v>598</v>
      </c>
      <c r="F205" t="s">
        <v>598</v>
      </c>
      <c r="G205" t="s">
        <v>599</v>
      </c>
      <c r="H205" t="s">
        <v>600</v>
      </c>
      <c r="I205" t="s">
        <v>599</v>
      </c>
    </row>
    <row r="206" spans="1:9" x14ac:dyDescent="0.2">
      <c r="A206" t="str">
        <f>"8951919D3E"</f>
        <v>8951919D3E</v>
      </c>
      <c r="B206" t="s">
        <v>9</v>
      </c>
      <c r="C206" t="s">
        <v>601</v>
      </c>
      <c r="D206" t="s">
        <v>11</v>
      </c>
      <c r="E206" t="s">
        <v>602</v>
      </c>
      <c r="F206" t="s">
        <v>602</v>
      </c>
      <c r="G206" t="s">
        <v>603</v>
      </c>
      <c r="H206" t="s">
        <v>604</v>
      </c>
      <c r="I206" t="s">
        <v>323</v>
      </c>
    </row>
    <row r="207" spans="1:9" x14ac:dyDescent="0.2">
      <c r="A207" t="str">
        <f>"895797312D"</f>
        <v>895797312D</v>
      </c>
      <c r="B207" t="s">
        <v>9</v>
      </c>
      <c r="C207" t="s">
        <v>605</v>
      </c>
      <c r="D207" t="s">
        <v>11</v>
      </c>
      <c r="E207" t="s">
        <v>606</v>
      </c>
      <c r="F207" t="s">
        <v>606</v>
      </c>
      <c r="G207" t="s">
        <v>607</v>
      </c>
      <c r="H207" t="s">
        <v>608</v>
      </c>
      <c r="I207" t="s">
        <v>607</v>
      </c>
    </row>
    <row r="208" spans="1:9" x14ac:dyDescent="0.2">
      <c r="A208" t="str">
        <f>"8952004366"</f>
        <v>8952004366</v>
      </c>
      <c r="B208" t="s">
        <v>9</v>
      </c>
      <c r="C208" t="s">
        <v>609</v>
      </c>
      <c r="D208" t="s">
        <v>11</v>
      </c>
      <c r="E208" t="s">
        <v>610</v>
      </c>
      <c r="F208" t="s">
        <v>610</v>
      </c>
      <c r="G208" t="s">
        <v>611</v>
      </c>
      <c r="H208" t="s">
        <v>612</v>
      </c>
      <c r="I208" t="s">
        <v>611</v>
      </c>
    </row>
    <row r="209" spans="1:9" x14ac:dyDescent="0.2">
      <c r="A209" t="str">
        <f>"8956015162"</f>
        <v>8956015162</v>
      </c>
      <c r="B209" t="s">
        <v>9</v>
      </c>
      <c r="C209" t="s">
        <v>613</v>
      </c>
      <c r="D209" t="s">
        <v>11</v>
      </c>
      <c r="E209" t="s">
        <v>614</v>
      </c>
      <c r="F209" t="s">
        <v>614</v>
      </c>
      <c r="G209" t="s">
        <v>63</v>
      </c>
      <c r="H209" t="s">
        <v>608</v>
      </c>
      <c r="I209" t="s">
        <v>63</v>
      </c>
    </row>
    <row r="210" spans="1:9" x14ac:dyDescent="0.2">
      <c r="A210" t="str">
        <f>"89519159F2"</f>
        <v>89519159F2</v>
      </c>
      <c r="B210" t="s">
        <v>9</v>
      </c>
      <c r="C210" t="s">
        <v>615</v>
      </c>
      <c r="D210" t="s">
        <v>11</v>
      </c>
      <c r="E210" t="s">
        <v>83</v>
      </c>
      <c r="F210" t="s">
        <v>83</v>
      </c>
      <c r="G210" t="s">
        <v>616</v>
      </c>
      <c r="H210" t="s">
        <v>604</v>
      </c>
      <c r="I210" t="s">
        <v>323</v>
      </c>
    </row>
    <row r="211" spans="1:9" x14ac:dyDescent="0.2">
      <c r="A211" t="str">
        <f>"895433462C"</f>
        <v>895433462C</v>
      </c>
      <c r="B211" t="s">
        <v>9</v>
      </c>
      <c r="C211" t="s">
        <v>256</v>
      </c>
      <c r="D211" t="s">
        <v>11</v>
      </c>
      <c r="E211" t="s">
        <v>602</v>
      </c>
      <c r="F211" t="s">
        <v>602</v>
      </c>
      <c r="G211" t="s">
        <v>617</v>
      </c>
      <c r="H211" t="s">
        <v>618</v>
      </c>
      <c r="I211" t="s">
        <v>617</v>
      </c>
    </row>
    <row r="212" spans="1:9" x14ac:dyDescent="0.2">
      <c r="A212" t="str">
        <f>"8954355780"</f>
        <v>8954355780</v>
      </c>
      <c r="B212" t="s">
        <v>9</v>
      </c>
      <c r="C212" t="s">
        <v>619</v>
      </c>
      <c r="D212" t="s">
        <v>11</v>
      </c>
      <c r="E212" t="s">
        <v>86</v>
      </c>
      <c r="F212" t="s">
        <v>86</v>
      </c>
      <c r="G212" t="s">
        <v>620</v>
      </c>
      <c r="H212" t="s">
        <v>621</v>
      </c>
      <c r="I212" t="s">
        <v>620</v>
      </c>
    </row>
    <row r="213" spans="1:9" x14ac:dyDescent="0.2">
      <c r="A213" t="str">
        <f>"89529819A3"</f>
        <v>89529819A3</v>
      </c>
      <c r="B213" t="s">
        <v>9</v>
      </c>
      <c r="C213" t="s">
        <v>622</v>
      </c>
      <c r="D213" t="s">
        <v>11</v>
      </c>
      <c r="E213" t="s">
        <v>83</v>
      </c>
      <c r="F213" t="s">
        <v>83</v>
      </c>
      <c r="G213" t="s">
        <v>623</v>
      </c>
      <c r="H213" t="s">
        <v>624</v>
      </c>
      <c r="I213" t="s">
        <v>623</v>
      </c>
    </row>
    <row r="214" spans="1:9" x14ac:dyDescent="0.2">
      <c r="A214" t="str">
        <f>"8969604F5D"</f>
        <v>8969604F5D</v>
      </c>
      <c r="B214" t="s">
        <v>9</v>
      </c>
      <c r="C214" t="s">
        <v>625</v>
      </c>
      <c r="D214" t="s">
        <v>11</v>
      </c>
      <c r="E214" t="s">
        <v>626</v>
      </c>
      <c r="F214" t="s">
        <v>626</v>
      </c>
      <c r="G214" t="s">
        <v>627</v>
      </c>
      <c r="H214" t="s">
        <v>628</v>
      </c>
      <c r="I214" t="s">
        <v>627</v>
      </c>
    </row>
    <row r="215" spans="1:9" x14ac:dyDescent="0.2">
      <c r="A215" t="str">
        <f>"8953913ABF"</f>
        <v>8953913ABF</v>
      </c>
      <c r="B215" t="s">
        <v>9</v>
      </c>
      <c r="C215" t="s">
        <v>629</v>
      </c>
      <c r="D215" t="s">
        <v>37</v>
      </c>
      <c r="E215" t="s">
        <v>232</v>
      </c>
      <c r="F215" t="s">
        <v>232</v>
      </c>
      <c r="G215" t="s">
        <v>630</v>
      </c>
      <c r="H215" t="s">
        <v>631</v>
      </c>
      <c r="I215" t="s">
        <v>630</v>
      </c>
    </row>
    <row r="216" spans="1:9" x14ac:dyDescent="0.2">
      <c r="A216" t="str">
        <f>"89525684D3"</f>
        <v>89525684D3</v>
      </c>
      <c r="B216" t="s">
        <v>9</v>
      </c>
      <c r="C216" t="s">
        <v>632</v>
      </c>
      <c r="D216" t="s">
        <v>11</v>
      </c>
      <c r="E216" t="s">
        <v>83</v>
      </c>
      <c r="F216" t="s">
        <v>83</v>
      </c>
      <c r="G216" t="s">
        <v>633</v>
      </c>
      <c r="H216" t="s">
        <v>634</v>
      </c>
      <c r="I216" t="s">
        <v>633</v>
      </c>
    </row>
    <row r="217" spans="1:9" x14ac:dyDescent="0.2">
      <c r="A217" t="str">
        <f>"8969617A19"</f>
        <v>8969617A19</v>
      </c>
      <c r="B217" t="s">
        <v>9</v>
      </c>
      <c r="C217" t="s">
        <v>635</v>
      </c>
      <c r="D217" t="s">
        <v>11</v>
      </c>
      <c r="E217" t="s">
        <v>83</v>
      </c>
      <c r="F217" t="s">
        <v>83</v>
      </c>
      <c r="G217" t="s">
        <v>636</v>
      </c>
      <c r="H217" t="s">
        <v>637</v>
      </c>
      <c r="I217" t="s">
        <v>636</v>
      </c>
    </row>
    <row r="218" spans="1:9" x14ac:dyDescent="0.2">
      <c r="A218" t="str">
        <f>"8934698A07"</f>
        <v>8934698A07</v>
      </c>
      <c r="B218" t="s">
        <v>9</v>
      </c>
      <c r="C218" t="s">
        <v>638</v>
      </c>
      <c r="D218" t="s">
        <v>11</v>
      </c>
      <c r="E218" t="s">
        <v>639</v>
      </c>
      <c r="F218" t="s">
        <v>639</v>
      </c>
      <c r="G218" t="s">
        <v>640</v>
      </c>
      <c r="H218" t="s">
        <v>641</v>
      </c>
      <c r="I218" t="s">
        <v>640</v>
      </c>
    </row>
    <row r="219" spans="1:9" x14ac:dyDescent="0.2">
      <c r="A219" t="str">
        <f>"89515794AD"</f>
        <v>89515794AD</v>
      </c>
      <c r="B219" t="s">
        <v>9</v>
      </c>
      <c r="C219" t="s">
        <v>642</v>
      </c>
      <c r="D219" t="s">
        <v>11</v>
      </c>
      <c r="E219" t="s">
        <v>643</v>
      </c>
      <c r="F219" t="s">
        <v>643</v>
      </c>
      <c r="G219" t="s">
        <v>644</v>
      </c>
      <c r="H219" t="s">
        <v>645</v>
      </c>
      <c r="I219" t="s">
        <v>644</v>
      </c>
    </row>
    <row r="220" spans="1:9" x14ac:dyDescent="0.2">
      <c r="A220" t="str">
        <f>"89553046A4"</f>
        <v>89553046A4</v>
      </c>
      <c r="B220" t="s">
        <v>9</v>
      </c>
      <c r="C220" t="s">
        <v>646</v>
      </c>
      <c r="D220" t="s">
        <v>11</v>
      </c>
      <c r="E220" t="s">
        <v>647</v>
      </c>
      <c r="F220" t="s">
        <v>647</v>
      </c>
      <c r="G220" t="s">
        <v>648</v>
      </c>
      <c r="H220" t="s">
        <v>649</v>
      </c>
      <c r="I220" t="s">
        <v>648</v>
      </c>
    </row>
    <row r="221" spans="1:9" x14ac:dyDescent="0.2">
      <c r="A221" t="str">
        <f>"8968051DCA"</f>
        <v>8968051DCA</v>
      </c>
      <c r="B221" t="s">
        <v>9</v>
      </c>
      <c r="C221" t="s">
        <v>650</v>
      </c>
      <c r="D221" t="s">
        <v>11</v>
      </c>
      <c r="E221" t="s">
        <v>651</v>
      </c>
      <c r="F221" t="s">
        <v>651</v>
      </c>
      <c r="G221" t="s">
        <v>652</v>
      </c>
      <c r="H221" t="s">
        <v>653</v>
      </c>
      <c r="I221" t="s">
        <v>654</v>
      </c>
    </row>
    <row r="222" spans="1:9" x14ac:dyDescent="0.2">
      <c r="A222" t="str">
        <f>"8942401EBD"</f>
        <v>8942401EBD</v>
      </c>
      <c r="B222" t="s">
        <v>9</v>
      </c>
      <c r="C222" t="s">
        <v>655</v>
      </c>
      <c r="D222" t="s">
        <v>11</v>
      </c>
      <c r="E222" t="s">
        <v>41</v>
      </c>
      <c r="F222" t="s">
        <v>41</v>
      </c>
      <c r="G222" t="s">
        <v>656</v>
      </c>
      <c r="H222" t="s">
        <v>657</v>
      </c>
      <c r="I222" t="s">
        <v>656</v>
      </c>
    </row>
    <row r="223" spans="1:9" x14ac:dyDescent="0.2">
      <c r="A223" t="str">
        <f>"8959600FCD"</f>
        <v>8959600FCD</v>
      </c>
      <c r="B223" t="s">
        <v>9</v>
      </c>
      <c r="C223" t="s">
        <v>658</v>
      </c>
      <c r="D223" t="s">
        <v>659</v>
      </c>
      <c r="E223" t="s">
        <v>660</v>
      </c>
      <c r="F223" t="s">
        <v>660</v>
      </c>
      <c r="G223" t="s">
        <v>661</v>
      </c>
      <c r="H223" t="s">
        <v>662</v>
      </c>
      <c r="I223" t="s">
        <v>661</v>
      </c>
    </row>
    <row r="224" spans="1:9" x14ac:dyDescent="0.2">
      <c r="A224" t="str">
        <f>"8942747C45"</f>
        <v>8942747C45</v>
      </c>
      <c r="B224" t="s">
        <v>9</v>
      </c>
      <c r="C224" t="s">
        <v>663</v>
      </c>
      <c r="D224" t="s">
        <v>11</v>
      </c>
      <c r="E224" t="s">
        <v>664</v>
      </c>
      <c r="F224" t="s">
        <v>664</v>
      </c>
      <c r="G224" t="s">
        <v>665</v>
      </c>
      <c r="H224" t="s">
        <v>666</v>
      </c>
    </row>
    <row r="225" spans="1:9" x14ac:dyDescent="0.2">
      <c r="A225" t="str">
        <f>"894223234A"</f>
        <v>894223234A</v>
      </c>
      <c r="B225" t="s">
        <v>9</v>
      </c>
      <c r="C225" t="s">
        <v>667</v>
      </c>
      <c r="D225" t="s">
        <v>11</v>
      </c>
      <c r="E225" t="s">
        <v>41</v>
      </c>
      <c r="F225" t="s">
        <v>41</v>
      </c>
      <c r="G225" t="s">
        <v>668</v>
      </c>
      <c r="H225" t="s">
        <v>657</v>
      </c>
      <c r="I225" t="s">
        <v>668</v>
      </c>
    </row>
    <row r="226" spans="1:9" x14ac:dyDescent="0.2">
      <c r="A226" t="str">
        <f>"894089866F"</f>
        <v>894089866F</v>
      </c>
      <c r="B226" t="s">
        <v>9</v>
      </c>
      <c r="C226" t="s">
        <v>669</v>
      </c>
      <c r="D226" t="s">
        <v>11</v>
      </c>
      <c r="E226" t="s">
        <v>670</v>
      </c>
      <c r="F226" t="s">
        <v>670</v>
      </c>
      <c r="G226" t="s">
        <v>671</v>
      </c>
      <c r="H226" t="s">
        <v>672</v>
      </c>
    </row>
    <row r="227" spans="1:9" x14ac:dyDescent="0.2">
      <c r="A227" t="str">
        <f>"8860463D5D"</f>
        <v>8860463D5D</v>
      </c>
      <c r="B227" t="s">
        <v>9</v>
      </c>
      <c r="C227" t="s">
        <v>673</v>
      </c>
      <c r="D227" t="s">
        <v>11</v>
      </c>
      <c r="E227" t="s">
        <v>674</v>
      </c>
      <c r="F227" t="s">
        <v>674</v>
      </c>
      <c r="G227" t="s">
        <v>675</v>
      </c>
      <c r="H227" t="s">
        <v>676</v>
      </c>
      <c r="I227" t="s">
        <v>675</v>
      </c>
    </row>
    <row r="228" spans="1:9" x14ac:dyDescent="0.2">
      <c r="A228" t="str">
        <f>"89359757D8"</f>
        <v>89359757D8</v>
      </c>
      <c r="B228" t="s">
        <v>9</v>
      </c>
      <c r="C228" t="s">
        <v>677</v>
      </c>
      <c r="D228" t="s">
        <v>11</v>
      </c>
      <c r="E228" t="s">
        <v>678</v>
      </c>
      <c r="F228" t="s">
        <v>678</v>
      </c>
      <c r="G228" t="s">
        <v>679</v>
      </c>
      <c r="H228" t="s">
        <v>680</v>
      </c>
      <c r="I228" t="s">
        <v>681</v>
      </c>
    </row>
    <row r="229" spans="1:9" x14ac:dyDescent="0.2">
      <c r="A229" t="str">
        <f>"8929471095"</f>
        <v>8929471095</v>
      </c>
      <c r="B229" t="s">
        <v>9</v>
      </c>
      <c r="C229" t="s">
        <v>682</v>
      </c>
      <c r="D229" t="s">
        <v>11</v>
      </c>
      <c r="E229" t="s">
        <v>683</v>
      </c>
      <c r="F229" t="s">
        <v>683</v>
      </c>
      <c r="G229" t="s">
        <v>684</v>
      </c>
      <c r="H229" t="s">
        <v>685</v>
      </c>
      <c r="I229" t="s">
        <v>684</v>
      </c>
    </row>
    <row r="230" spans="1:9" x14ac:dyDescent="0.2">
      <c r="A230" t="str">
        <f>"89350593F1"</f>
        <v>89350593F1</v>
      </c>
      <c r="B230" t="s">
        <v>9</v>
      </c>
      <c r="C230" t="s">
        <v>686</v>
      </c>
      <c r="D230" t="s">
        <v>11</v>
      </c>
      <c r="E230" t="s">
        <v>687</v>
      </c>
      <c r="F230" t="s">
        <v>687</v>
      </c>
      <c r="G230" t="s">
        <v>688</v>
      </c>
      <c r="H230" t="s">
        <v>689</v>
      </c>
      <c r="I230" t="s">
        <v>688</v>
      </c>
    </row>
    <row r="231" spans="1:9" x14ac:dyDescent="0.2">
      <c r="A231" t="str">
        <f>"893350625E"</f>
        <v>893350625E</v>
      </c>
      <c r="B231" t="s">
        <v>9</v>
      </c>
      <c r="C231" t="s">
        <v>690</v>
      </c>
      <c r="D231" t="s">
        <v>11</v>
      </c>
      <c r="E231" t="s">
        <v>41</v>
      </c>
      <c r="F231" t="s">
        <v>41</v>
      </c>
      <c r="G231" t="s">
        <v>691</v>
      </c>
      <c r="H231" t="s">
        <v>692</v>
      </c>
      <c r="I231" t="s">
        <v>691</v>
      </c>
    </row>
    <row r="232" spans="1:9" x14ac:dyDescent="0.2">
      <c r="A232" t="str">
        <f>"8929404948"</f>
        <v>8929404948</v>
      </c>
      <c r="B232" t="s">
        <v>9</v>
      </c>
      <c r="C232" t="s">
        <v>693</v>
      </c>
      <c r="D232" t="s">
        <v>11</v>
      </c>
      <c r="E232" t="s">
        <v>694</v>
      </c>
      <c r="F232" t="s">
        <v>694</v>
      </c>
      <c r="G232" t="s">
        <v>671</v>
      </c>
      <c r="H232" t="s">
        <v>695</v>
      </c>
      <c r="I232" t="s">
        <v>671</v>
      </c>
    </row>
    <row r="233" spans="1:9" x14ac:dyDescent="0.2">
      <c r="A233" t="str">
        <f>"8935886E64"</f>
        <v>8935886E64</v>
      </c>
      <c r="B233" t="s">
        <v>9</v>
      </c>
      <c r="C233" t="s">
        <v>696</v>
      </c>
      <c r="D233" t="s">
        <v>11</v>
      </c>
      <c r="E233" t="s">
        <v>697</v>
      </c>
      <c r="F233" t="s">
        <v>697</v>
      </c>
      <c r="G233" t="s">
        <v>698</v>
      </c>
      <c r="H233" t="s">
        <v>699</v>
      </c>
      <c r="I233" t="s">
        <v>698</v>
      </c>
    </row>
    <row r="234" spans="1:9" x14ac:dyDescent="0.2">
      <c r="A234" t="str">
        <f>"8927780D1C"</f>
        <v>8927780D1C</v>
      </c>
      <c r="B234" t="s">
        <v>9</v>
      </c>
      <c r="C234" t="s">
        <v>700</v>
      </c>
      <c r="D234" t="s">
        <v>37</v>
      </c>
      <c r="E234" t="s">
        <v>410</v>
      </c>
      <c r="F234" t="s">
        <v>410</v>
      </c>
      <c r="G234" t="s">
        <v>701</v>
      </c>
      <c r="H234" t="s">
        <v>702</v>
      </c>
      <c r="I234" t="s">
        <v>701</v>
      </c>
    </row>
    <row r="235" spans="1:9" x14ac:dyDescent="0.2">
      <c r="A235" t="str">
        <f>"8928105950"</f>
        <v>8928105950</v>
      </c>
      <c r="B235" t="s">
        <v>9</v>
      </c>
      <c r="C235" t="s">
        <v>703</v>
      </c>
      <c r="D235" t="s">
        <v>11</v>
      </c>
      <c r="E235" t="s">
        <v>402</v>
      </c>
      <c r="F235" t="s">
        <v>402</v>
      </c>
      <c r="G235" t="s">
        <v>704</v>
      </c>
      <c r="H235" t="s">
        <v>705</v>
      </c>
      <c r="I235" t="s">
        <v>704</v>
      </c>
    </row>
    <row r="236" spans="1:9" x14ac:dyDescent="0.2">
      <c r="A236" t="str">
        <f>"8903976171"</f>
        <v>8903976171</v>
      </c>
      <c r="B236" t="s">
        <v>9</v>
      </c>
      <c r="C236" t="s">
        <v>706</v>
      </c>
      <c r="D236" t="s">
        <v>11</v>
      </c>
      <c r="E236" t="s">
        <v>46</v>
      </c>
      <c r="F236" t="s">
        <v>46</v>
      </c>
      <c r="G236" t="s">
        <v>707</v>
      </c>
      <c r="H236" t="s">
        <v>708</v>
      </c>
      <c r="I236" t="s">
        <v>707</v>
      </c>
    </row>
    <row r="237" spans="1:9" x14ac:dyDescent="0.2">
      <c r="A237" t="str">
        <f>"8888051BB4"</f>
        <v>8888051BB4</v>
      </c>
      <c r="B237" t="s">
        <v>9</v>
      </c>
      <c r="C237" t="s">
        <v>709</v>
      </c>
      <c r="D237" t="s">
        <v>11</v>
      </c>
      <c r="E237" t="s">
        <v>710</v>
      </c>
      <c r="F237" t="s">
        <v>710</v>
      </c>
      <c r="G237" t="s">
        <v>711</v>
      </c>
      <c r="H237" t="s">
        <v>712</v>
      </c>
      <c r="I237" t="s">
        <v>711</v>
      </c>
    </row>
    <row r="238" spans="1:9" x14ac:dyDescent="0.2">
      <c r="A238" t="str">
        <f>"89235244F5"</f>
        <v>89235244F5</v>
      </c>
      <c r="B238" t="s">
        <v>9</v>
      </c>
      <c r="C238" t="s">
        <v>713</v>
      </c>
      <c r="D238" t="s">
        <v>11</v>
      </c>
      <c r="E238" t="s">
        <v>83</v>
      </c>
      <c r="F238" t="s">
        <v>83</v>
      </c>
      <c r="G238" t="s">
        <v>714</v>
      </c>
      <c r="H238" t="s">
        <v>715</v>
      </c>
      <c r="I238" t="s">
        <v>323</v>
      </c>
    </row>
    <row r="239" spans="1:9" x14ac:dyDescent="0.2">
      <c r="A239" t="str">
        <f>"8923671E41"</f>
        <v>8923671E41</v>
      </c>
      <c r="B239" t="s">
        <v>9</v>
      </c>
      <c r="C239" t="s">
        <v>716</v>
      </c>
      <c r="D239" t="s">
        <v>11</v>
      </c>
      <c r="E239" t="s">
        <v>334</v>
      </c>
      <c r="F239" t="s">
        <v>334</v>
      </c>
      <c r="G239" t="s">
        <v>717</v>
      </c>
      <c r="H239" t="s">
        <v>718</v>
      </c>
      <c r="I239" t="s">
        <v>717</v>
      </c>
    </row>
    <row r="240" spans="1:9" x14ac:dyDescent="0.2">
      <c r="A240" t="str">
        <f>"89200409DD"</f>
        <v>89200409DD</v>
      </c>
      <c r="B240" t="s">
        <v>9</v>
      </c>
      <c r="C240" t="s">
        <v>719</v>
      </c>
      <c r="D240" t="s">
        <v>11</v>
      </c>
      <c r="E240" t="s">
        <v>720</v>
      </c>
      <c r="F240" t="s">
        <v>720</v>
      </c>
      <c r="G240" t="s">
        <v>721</v>
      </c>
      <c r="H240" t="s">
        <v>722</v>
      </c>
      <c r="I240" t="s">
        <v>721</v>
      </c>
    </row>
    <row r="241" spans="1:9" x14ac:dyDescent="0.2">
      <c r="A241" t="str">
        <f>"8923626920"</f>
        <v>8923626920</v>
      </c>
      <c r="B241" t="s">
        <v>9</v>
      </c>
      <c r="C241" t="s">
        <v>723</v>
      </c>
      <c r="D241" t="s">
        <v>11</v>
      </c>
      <c r="E241" t="s">
        <v>724</v>
      </c>
      <c r="F241" t="s">
        <v>724</v>
      </c>
      <c r="G241" t="s">
        <v>725</v>
      </c>
      <c r="H241" t="s">
        <v>726</v>
      </c>
      <c r="I241" t="s">
        <v>727</v>
      </c>
    </row>
    <row r="242" spans="1:9" x14ac:dyDescent="0.2">
      <c r="A242" t="str">
        <f>"892348766C"</f>
        <v>892348766C</v>
      </c>
      <c r="B242" t="s">
        <v>9</v>
      </c>
      <c r="C242" t="s">
        <v>728</v>
      </c>
      <c r="D242" t="s">
        <v>11</v>
      </c>
      <c r="E242" t="s">
        <v>610</v>
      </c>
      <c r="F242" t="s">
        <v>610</v>
      </c>
      <c r="G242" t="s">
        <v>729</v>
      </c>
      <c r="H242" t="s">
        <v>726</v>
      </c>
      <c r="I242" t="s">
        <v>729</v>
      </c>
    </row>
    <row r="243" spans="1:9" x14ac:dyDescent="0.2">
      <c r="A243" t="str">
        <f>"8745692559"</f>
        <v>8745692559</v>
      </c>
      <c r="B243" t="s">
        <v>9</v>
      </c>
      <c r="C243" t="s">
        <v>730</v>
      </c>
      <c r="D243" t="s">
        <v>58</v>
      </c>
      <c r="E243" t="s">
        <v>731</v>
      </c>
      <c r="F243" t="s">
        <v>732</v>
      </c>
      <c r="G243" t="s">
        <v>733</v>
      </c>
      <c r="H243" t="s">
        <v>734</v>
      </c>
      <c r="I243" t="s">
        <v>735</v>
      </c>
    </row>
    <row r="244" spans="1:9" x14ac:dyDescent="0.2">
      <c r="A244" t="str">
        <f>"8844129621"</f>
        <v>8844129621</v>
      </c>
      <c r="B244" t="s">
        <v>9</v>
      </c>
      <c r="C244" t="s">
        <v>736</v>
      </c>
      <c r="D244" t="s">
        <v>11</v>
      </c>
      <c r="E244" t="s">
        <v>737</v>
      </c>
      <c r="F244" t="s">
        <v>737</v>
      </c>
      <c r="G244" t="s">
        <v>738</v>
      </c>
      <c r="H244" t="s">
        <v>739</v>
      </c>
      <c r="I244" t="s">
        <v>738</v>
      </c>
    </row>
    <row r="245" spans="1:9" x14ac:dyDescent="0.2">
      <c r="A245" t="str">
        <f>"88894004F1"</f>
        <v>88894004F1</v>
      </c>
      <c r="B245" t="s">
        <v>9</v>
      </c>
      <c r="C245" t="s">
        <v>740</v>
      </c>
      <c r="D245" t="s">
        <v>11</v>
      </c>
      <c r="E245" t="s">
        <v>720</v>
      </c>
      <c r="F245" t="s">
        <v>720</v>
      </c>
      <c r="G245" t="s">
        <v>741</v>
      </c>
      <c r="H245" t="s">
        <v>742</v>
      </c>
      <c r="I245" t="s">
        <v>323</v>
      </c>
    </row>
    <row r="246" spans="1:9" x14ac:dyDescent="0.2">
      <c r="A246" t="str">
        <f>"8909830051"</f>
        <v>8909830051</v>
      </c>
      <c r="B246" t="s">
        <v>9</v>
      </c>
      <c r="C246" t="s">
        <v>743</v>
      </c>
      <c r="D246" t="s">
        <v>11</v>
      </c>
      <c r="E246" t="s">
        <v>337</v>
      </c>
      <c r="F246" t="s">
        <v>337</v>
      </c>
      <c r="G246" t="s">
        <v>744</v>
      </c>
      <c r="H246" t="s">
        <v>745</v>
      </c>
      <c r="I246" t="s">
        <v>744</v>
      </c>
    </row>
    <row r="247" spans="1:9" x14ac:dyDescent="0.2">
      <c r="A247" t="str">
        <f>"89098218E1"</f>
        <v>89098218E1</v>
      </c>
      <c r="B247" t="s">
        <v>9</v>
      </c>
      <c r="C247" t="s">
        <v>746</v>
      </c>
      <c r="D247" t="s">
        <v>11</v>
      </c>
      <c r="E247" t="s">
        <v>328</v>
      </c>
      <c r="F247" t="s">
        <v>328</v>
      </c>
      <c r="G247" t="s">
        <v>747</v>
      </c>
      <c r="H247" t="s">
        <v>748</v>
      </c>
      <c r="I247" t="s">
        <v>747</v>
      </c>
    </row>
    <row r="248" spans="1:9" x14ac:dyDescent="0.2">
      <c r="A248" t="str">
        <f>"89034195C9"</f>
        <v>89034195C9</v>
      </c>
      <c r="B248" t="s">
        <v>9</v>
      </c>
      <c r="C248" t="s">
        <v>749</v>
      </c>
      <c r="D248" t="s">
        <v>11</v>
      </c>
      <c r="E248" t="s">
        <v>750</v>
      </c>
      <c r="F248" t="s">
        <v>750</v>
      </c>
      <c r="G248" t="s">
        <v>751</v>
      </c>
      <c r="H248" t="s">
        <v>752</v>
      </c>
      <c r="I248" t="s">
        <v>753</v>
      </c>
    </row>
    <row r="249" spans="1:9" x14ac:dyDescent="0.2">
      <c r="A249" t="str">
        <f>"8902872264"</f>
        <v>8902872264</v>
      </c>
      <c r="B249" t="s">
        <v>9</v>
      </c>
      <c r="C249" t="s">
        <v>754</v>
      </c>
      <c r="D249" t="s">
        <v>11</v>
      </c>
      <c r="E249" t="s">
        <v>755</v>
      </c>
      <c r="F249" t="s">
        <v>755</v>
      </c>
      <c r="G249" t="s">
        <v>756</v>
      </c>
      <c r="H249" t="s">
        <v>757</v>
      </c>
      <c r="I249" t="s">
        <v>756</v>
      </c>
    </row>
    <row r="250" spans="1:9" x14ac:dyDescent="0.2">
      <c r="A250" t="str">
        <f>"8909837616"</f>
        <v>8909837616</v>
      </c>
      <c r="B250" t="s">
        <v>9</v>
      </c>
      <c r="C250" t="s">
        <v>758</v>
      </c>
      <c r="D250" t="s">
        <v>11</v>
      </c>
      <c r="E250" t="s">
        <v>86</v>
      </c>
      <c r="F250" t="s">
        <v>86</v>
      </c>
      <c r="G250" t="s">
        <v>759</v>
      </c>
      <c r="H250" t="s">
        <v>760</v>
      </c>
      <c r="I250" t="s">
        <v>759</v>
      </c>
    </row>
    <row r="251" spans="1:9" x14ac:dyDescent="0.2">
      <c r="A251" t="str">
        <f>"890427040E"</f>
        <v>890427040E</v>
      </c>
      <c r="B251" t="s">
        <v>9</v>
      </c>
      <c r="C251" t="s">
        <v>761</v>
      </c>
      <c r="D251" t="s">
        <v>11</v>
      </c>
      <c r="E251" t="s">
        <v>762</v>
      </c>
      <c r="F251" t="s">
        <v>762</v>
      </c>
      <c r="G251" t="s">
        <v>763</v>
      </c>
      <c r="H251" t="s">
        <v>764</v>
      </c>
      <c r="I251" t="s">
        <v>763</v>
      </c>
    </row>
    <row r="252" spans="1:9" x14ac:dyDescent="0.2">
      <c r="A252" t="str">
        <f>"89107149CE"</f>
        <v>89107149CE</v>
      </c>
      <c r="B252" t="s">
        <v>9</v>
      </c>
      <c r="C252" t="s">
        <v>765</v>
      </c>
      <c r="D252" t="s">
        <v>37</v>
      </c>
      <c r="E252" t="s">
        <v>766</v>
      </c>
      <c r="F252" t="s">
        <v>766</v>
      </c>
      <c r="G252" t="s">
        <v>767</v>
      </c>
      <c r="H252" t="s">
        <v>768</v>
      </c>
    </row>
    <row r="253" spans="1:9" x14ac:dyDescent="0.2">
      <c r="A253" t="str">
        <f>"8912641007"</f>
        <v>8912641007</v>
      </c>
      <c r="B253" t="s">
        <v>9</v>
      </c>
      <c r="C253" t="s">
        <v>769</v>
      </c>
      <c r="D253" t="s">
        <v>11</v>
      </c>
      <c r="E253" t="s">
        <v>83</v>
      </c>
      <c r="F253" t="s">
        <v>83</v>
      </c>
      <c r="G253" t="s">
        <v>770</v>
      </c>
      <c r="H253" t="s">
        <v>771</v>
      </c>
      <c r="I253" t="s">
        <v>770</v>
      </c>
    </row>
    <row r="254" spans="1:9" x14ac:dyDescent="0.2">
      <c r="A254" t="str">
        <f>"8912673A6C"</f>
        <v>8912673A6C</v>
      </c>
      <c r="B254" t="s">
        <v>9</v>
      </c>
      <c r="C254" t="s">
        <v>772</v>
      </c>
      <c r="D254" t="s">
        <v>11</v>
      </c>
      <c r="E254" t="s">
        <v>550</v>
      </c>
      <c r="F254" t="s">
        <v>550</v>
      </c>
      <c r="G254" t="s">
        <v>773</v>
      </c>
      <c r="H254" t="s">
        <v>774</v>
      </c>
      <c r="I254" t="s">
        <v>773</v>
      </c>
    </row>
    <row r="255" spans="1:9" x14ac:dyDescent="0.2">
      <c r="A255" t="str">
        <f>"8912926B34"</f>
        <v>8912926B34</v>
      </c>
      <c r="B255" t="s">
        <v>9</v>
      </c>
      <c r="C255" t="s">
        <v>256</v>
      </c>
      <c r="D255" t="s">
        <v>11</v>
      </c>
      <c r="E255" t="s">
        <v>602</v>
      </c>
      <c r="F255" t="s">
        <v>602</v>
      </c>
      <c r="G255" t="s">
        <v>775</v>
      </c>
      <c r="H255" t="s">
        <v>776</v>
      </c>
      <c r="I255" t="s">
        <v>775</v>
      </c>
    </row>
    <row r="256" spans="1:9" x14ac:dyDescent="0.2">
      <c r="A256" t="str">
        <f>"8912504EF4"</f>
        <v>8912504EF4</v>
      </c>
      <c r="B256" t="s">
        <v>9</v>
      </c>
      <c r="C256" t="s">
        <v>777</v>
      </c>
      <c r="D256" t="s">
        <v>11</v>
      </c>
      <c r="E256" t="s">
        <v>778</v>
      </c>
      <c r="F256" t="s">
        <v>778</v>
      </c>
      <c r="G256" t="s">
        <v>779</v>
      </c>
      <c r="H256" t="s">
        <v>760</v>
      </c>
      <c r="I256" t="s">
        <v>779</v>
      </c>
    </row>
    <row r="257" spans="1:9" x14ac:dyDescent="0.2">
      <c r="A257" t="str">
        <f>"8909826D00"</f>
        <v>8909826D00</v>
      </c>
      <c r="B257" t="s">
        <v>9</v>
      </c>
      <c r="C257" t="s">
        <v>780</v>
      </c>
      <c r="D257" t="s">
        <v>11</v>
      </c>
      <c r="E257" t="s">
        <v>334</v>
      </c>
      <c r="F257" t="s">
        <v>334</v>
      </c>
      <c r="G257" t="s">
        <v>781</v>
      </c>
      <c r="H257" t="s">
        <v>768</v>
      </c>
      <c r="I257" t="s">
        <v>323</v>
      </c>
    </row>
    <row r="258" spans="1:9" x14ac:dyDescent="0.2">
      <c r="A258" t="str">
        <f>"8912852E22"</f>
        <v>8912852E22</v>
      </c>
      <c r="B258" t="s">
        <v>9</v>
      </c>
      <c r="C258" t="s">
        <v>782</v>
      </c>
      <c r="D258" t="s">
        <v>11</v>
      </c>
      <c r="E258" t="s">
        <v>331</v>
      </c>
      <c r="F258" t="s">
        <v>331</v>
      </c>
      <c r="G258" t="s">
        <v>783</v>
      </c>
      <c r="H258" t="s">
        <v>784</v>
      </c>
      <c r="I258" t="s">
        <v>783</v>
      </c>
    </row>
    <row r="259" spans="1:9" x14ac:dyDescent="0.2">
      <c r="A259" t="str">
        <f>"8912654ABE"</f>
        <v>8912654ABE</v>
      </c>
      <c r="B259" t="s">
        <v>9</v>
      </c>
      <c r="C259" t="s">
        <v>785</v>
      </c>
      <c r="D259" t="s">
        <v>11</v>
      </c>
      <c r="E259" t="s">
        <v>786</v>
      </c>
      <c r="F259" t="s">
        <v>786</v>
      </c>
      <c r="G259" t="s">
        <v>787</v>
      </c>
      <c r="H259" t="s">
        <v>760</v>
      </c>
      <c r="I259" t="s">
        <v>787</v>
      </c>
    </row>
    <row r="260" spans="1:9" x14ac:dyDescent="0.2">
      <c r="A260" t="str">
        <f>"890259911B"</f>
        <v>890259911B</v>
      </c>
      <c r="B260" t="s">
        <v>9</v>
      </c>
      <c r="C260" t="s">
        <v>788</v>
      </c>
      <c r="D260" t="s">
        <v>11</v>
      </c>
      <c r="E260" t="s">
        <v>789</v>
      </c>
      <c r="F260" t="s">
        <v>789</v>
      </c>
      <c r="G260" t="s">
        <v>790</v>
      </c>
      <c r="H260" t="s">
        <v>791</v>
      </c>
      <c r="I260" t="s">
        <v>792</v>
      </c>
    </row>
    <row r="261" spans="1:9" x14ac:dyDescent="0.2">
      <c r="A261" t="str">
        <f>"8854488AA4"</f>
        <v>8854488AA4</v>
      </c>
      <c r="B261" t="s">
        <v>9</v>
      </c>
      <c r="C261" t="s">
        <v>793</v>
      </c>
      <c r="D261" t="s">
        <v>11</v>
      </c>
      <c r="E261" t="s">
        <v>794</v>
      </c>
      <c r="F261" t="s">
        <v>794</v>
      </c>
      <c r="G261" t="s">
        <v>795</v>
      </c>
      <c r="H261" t="s">
        <v>796</v>
      </c>
      <c r="I261" t="s">
        <v>795</v>
      </c>
    </row>
    <row r="262" spans="1:9" x14ac:dyDescent="0.2">
      <c r="A262" t="str">
        <f>"8903491135"</f>
        <v>8903491135</v>
      </c>
      <c r="B262" t="s">
        <v>9</v>
      </c>
      <c r="C262" t="s">
        <v>797</v>
      </c>
      <c r="D262" t="s">
        <v>37</v>
      </c>
      <c r="E262" t="s">
        <v>232</v>
      </c>
      <c r="F262" t="s">
        <v>232</v>
      </c>
      <c r="G262" t="s">
        <v>595</v>
      </c>
      <c r="H262" t="s">
        <v>798</v>
      </c>
      <c r="I262" t="s">
        <v>323</v>
      </c>
    </row>
    <row r="263" spans="1:9" x14ac:dyDescent="0.2">
      <c r="A263" t="str">
        <f>"8854626C85"</f>
        <v>8854626C85</v>
      </c>
      <c r="B263" t="s">
        <v>9</v>
      </c>
      <c r="C263" t="s">
        <v>799</v>
      </c>
      <c r="D263" t="s">
        <v>11</v>
      </c>
      <c r="E263" t="s">
        <v>800</v>
      </c>
      <c r="F263" t="s">
        <v>800</v>
      </c>
      <c r="G263" t="s">
        <v>801</v>
      </c>
      <c r="H263" t="s">
        <v>798</v>
      </c>
    </row>
    <row r="264" spans="1:9" x14ac:dyDescent="0.2">
      <c r="A264" t="str">
        <f>"8926849CD3"</f>
        <v>8926849CD3</v>
      </c>
      <c r="B264" t="s">
        <v>9</v>
      </c>
      <c r="C264" t="s">
        <v>802</v>
      </c>
      <c r="D264" t="s">
        <v>11</v>
      </c>
      <c r="E264" t="s">
        <v>803</v>
      </c>
      <c r="F264" t="s">
        <v>803</v>
      </c>
      <c r="G264" t="s">
        <v>804</v>
      </c>
      <c r="H264" t="s">
        <v>805</v>
      </c>
      <c r="I264" t="s">
        <v>804</v>
      </c>
    </row>
    <row r="265" spans="1:9" x14ac:dyDescent="0.2">
      <c r="A265" t="str">
        <f>"8919756F7E"</f>
        <v>8919756F7E</v>
      </c>
      <c r="B265" t="s">
        <v>9</v>
      </c>
      <c r="C265" t="s">
        <v>806</v>
      </c>
      <c r="D265" t="s">
        <v>11</v>
      </c>
      <c r="E265" t="s">
        <v>807</v>
      </c>
      <c r="F265" t="s">
        <v>807</v>
      </c>
      <c r="G265" t="s">
        <v>808</v>
      </c>
      <c r="H265" t="s">
        <v>809</v>
      </c>
      <c r="I265" t="s">
        <v>808</v>
      </c>
    </row>
    <row r="266" spans="1:9" x14ac:dyDescent="0.2">
      <c r="A266" t="str">
        <f>"8854862F45"</f>
        <v>8854862F45</v>
      </c>
      <c r="B266" t="s">
        <v>9</v>
      </c>
      <c r="C266" t="s">
        <v>810</v>
      </c>
      <c r="D266" t="s">
        <v>11</v>
      </c>
      <c r="E266" t="s">
        <v>811</v>
      </c>
      <c r="F266" t="s">
        <v>811</v>
      </c>
      <c r="G266" t="s">
        <v>812</v>
      </c>
      <c r="H266" t="s">
        <v>813</v>
      </c>
      <c r="I266" t="s">
        <v>812</v>
      </c>
    </row>
    <row r="267" spans="1:9" x14ac:dyDescent="0.2">
      <c r="A267" t="str">
        <f>"8854713453"</f>
        <v>8854713453</v>
      </c>
      <c r="B267" t="s">
        <v>9</v>
      </c>
      <c r="C267" t="s">
        <v>814</v>
      </c>
      <c r="D267" t="s">
        <v>11</v>
      </c>
      <c r="E267" t="s">
        <v>815</v>
      </c>
      <c r="F267" t="s">
        <v>815</v>
      </c>
      <c r="G267" t="s">
        <v>816</v>
      </c>
      <c r="H267" t="s">
        <v>813</v>
      </c>
      <c r="I267" t="s">
        <v>816</v>
      </c>
    </row>
    <row r="268" spans="1:9" x14ac:dyDescent="0.2">
      <c r="A268" t="str">
        <f>"8897270379"</f>
        <v>8897270379</v>
      </c>
      <c r="B268" t="s">
        <v>9</v>
      </c>
      <c r="C268" t="s">
        <v>817</v>
      </c>
      <c r="D268" t="s">
        <v>11</v>
      </c>
      <c r="E268" t="s">
        <v>818</v>
      </c>
      <c r="F268" t="s">
        <v>818</v>
      </c>
      <c r="G268" t="s">
        <v>819</v>
      </c>
      <c r="H268" t="s">
        <v>798</v>
      </c>
      <c r="I268" t="s">
        <v>820</v>
      </c>
    </row>
    <row r="269" spans="1:9" x14ac:dyDescent="0.2">
      <c r="A269" t="str">
        <f>"88600210A1"</f>
        <v>88600210A1</v>
      </c>
      <c r="B269" t="s">
        <v>9</v>
      </c>
      <c r="C269" t="s">
        <v>821</v>
      </c>
      <c r="D269" t="s">
        <v>11</v>
      </c>
      <c r="E269" t="s">
        <v>822</v>
      </c>
      <c r="F269" t="s">
        <v>822</v>
      </c>
      <c r="G269" t="s">
        <v>823</v>
      </c>
      <c r="H269" t="s">
        <v>813</v>
      </c>
      <c r="I269" t="s">
        <v>823</v>
      </c>
    </row>
    <row r="270" spans="1:9" x14ac:dyDescent="0.2">
      <c r="A270" t="str">
        <f>"89269521D6"</f>
        <v>89269521D6</v>
      </c>
      <c r="B270" t="s">
        <v>9</v>
      </c>
      <c r="C270" t="s">
        <v>824</v>
      </c>
      <c r="D270" t="s">
        <v>11</v>
      </c>
      <c r="E270" t="s">
        <v>825</v>
      </c>
      <c r="F270" t="s">
        <v>825</v>
      </c>
      <c r="G270" t="s">
        <v>826</v>
      </c>
      <c r="H270" t="s">
        <v>813</v>
      </c>
      <c r="I270" t="s">
        <v>826</v>
      </c>
    </row>
    <row r="271" spans="1:9" x14ac:dyDescent="0.2">
      <c r="A271" t="str">
        <f>"8903522AC7"</f>
        <v>8903522AC7</v>
      </c>
      <c r="B271" t="s">
        <v>9</v>
      </c>
      <c r="C271" t="s">
        <v>827</v>
      </c>
      <c r="D271" t="s">
        <v>37</v>
      </c>
      <c r="E271" t="s">
        <v>232</v>
      </c>
      <c r="F271" t="s">
        <v>232</v>
      </c>
      <c r="G271" t="s">
        <v>828</v>
      </c>
      <c r="H271" t="s">
        <v>829</v>
      </c>
      <c r="I271" t="s">
        <v>830</v>
      </c>
    </row>
    <row r="272" spans="1:9" x14ac:dyDescent="0.2">
      <c r="A272" t="str">
        <f>"89067312F0"</f>
        <v>89067312F0</v>
      </c>
      <c r="B272" t="s">
        <v>9</v>
      </c>
      <c r="C272" t="s">
        <v>831</v>
      </c>
      <c r="D272" t="s">
        <v>11</v>
      </c>
      <c r="E272" t="s">
        <v>832</v>
      </c>
      <c r="F272" t="s">
        <v>832</v>
      </c>
      <c r="G272" t="s">
        <v>833</v>
      </c>
      <c r="H272" t="s">
        <v>813</v>
      </c>
      <c r="I272" t="s">
        <v>833</v>
      </c>
    </row>
    <row r="273" spans="1:9" x14ac:dyDescent="0.2">
      <c r="A273" t="str">
        <f>"8860336492"</f>
        <v>8860336492</v>
      </c>
      <c r="B273" t="s">
        <v>9</v>
      </c>
      <c r="C273" t="s">
        <v>834</v>
      </c>
      <c r="D273" t="s">
        <v>11</v>
      </c>
      <c r="E273" t="s">
        <v>158</v>
      </c>
      <c r="F273" t="s">
        <v>158</v>
      </c>
      <c r="G273" t="s">
        <v>835</v>
      </c>
      <c r="H273" t="s">
        <v>798</v>
      </c>
    </row>
    <row r="274" spans="1:9" x14ac:dyDescent="0.2">
      <c r="A274" t="str">
        <f>"8854434E13"</f>
        <v>8854434E13</v>
      </c>
      <c r="B274" t="s">
        <v>9</v>
      </c>
      <c r="C274" t="s">
        <v>836</v>
      </c>
      <c r="D274" t="s">
        <v>11</v>
      </c>
      <c r="E274" t="s">
        <v>837</v>
      </c>
      <c r="F274" t="s">
        <v>837</v>
      </c>
      <c r="G274" t="s">
        <v>838</v>
      </c>
      <c r="H274" t="s">
        <v>813</v>
      </c>
      <c r="I274" t="s">
        <v>838</v>
      </c>
    </row>
    <row r="275" spans="1:9" x14ac:dyDescent="0.2">
      <c r="A275" t="str">
        <f>"88991968DA"</f>
        <v>88991968DA</v>
      </c>
      <c r="B275" t="s">
        <v>9</v>
      </c>
      <c r="C275" t="s">
        <v>537</v>
      </c>
      <c r="D275" t="s">
        <v>37</v>
      </c>
      <c r="E275" t="s">
        <v>41</v>
      </c>
      <c r="F275" t="s">
        <v>41</v>
      </c>
      <c r="G275" t="s">
        <v>839</v>
      </c>
      <c r="H275" t="s">
        <v>840</v>
      </c>
      <c r="I275" t="s">
        <v>841</v>
      </c>
    </row>
    <row r="276" spans="1:9" x14ac:dyDescent="0.2">
      <c r="A276" t="str">
        <f>"88955518E7"</f>
        <v>88955518E7</v>
      </c>
      <c r="B276" t="s">
        <v>9</v>
      </c>
      <c r="C276" t="s">
        <v>842</v>
      </c>
      <c r="D276" t="s">
        <v>11</v>
      </c>
      <c r="E276" t="s">
        <v>843</v>
      </c>
      <c r="F276" t="s">
        <v>843</v>
      </c>
      <c r="G276" t="s">
        <v>844</v>
      </c>
      <c r="H276" t="s">
        <v>845</v>
      </c>
      <c r="I276" t="s">
        <v>844</v>
      </c>
    </row>
    <row r="277" spans="1:9" x14ac:dyDescent="0.2">
      <c r="A277" t="str">
        <f>"8896572377"</f>
        <v>8896572377</v>
      </c>
      <c r="B277" t="s">
        <v>9</v>
      </c>
      <c r="C277" t="s">
        <v>846</v>
      </c>
      <c r="D277" t="s">
        <v>11</v>
      </c>
      <c r="E277" t="s">
        <v>847</v>
      </c>
      <c r="F277" t="s">
        <v>847</v>
      </c>
      <c r="G277" t="s">
        <v>848</v>
      </c>
      <c r="H277" t="s">
        <v>849</v>
      </c>
      <c r="I277" t="s">
        <v>848</v>
      </c>
    </row>
    <row r="278" spans="1:9" x14ac:dyDescent="0.2">
      <c r="A278" t="str">
        <f>"889816560C"</f>
        <v>889816560C</v>
      </c>
      <c r="B278" t="s">
        <v>9</v>
      </c>
      <c r="C278" t="s">
        <v>850</v>
      </c>
      <c r="D278" t="s">
        <v>11</v>
      </c>
      <c r="E278" t="s">
        <v>851</v>
      </c>
      <c r="F278" t="s">
        <v>851</v>
      </c>
      <c r="G278" t="s">
        <v>721</v>
      </c>
      <c r="H278" t="s">
        <v>849</v>
      </c>
      <c r="I278" t="s">
        <v>721</v>
      </c>
    </row>
    <row r="279" spans="1:9" x14ac:dyDescent="0.2">
      <c r="A279" t="str">
        <f>"889547495C"</f>
        <v>889547495C</v>
      </c>
      <c r="B279" t="s">
        <v>9</v>
      </c>
      <c r="C279" t="s">
        <v>852</v>
      </c>
      <c r="D279" t="s">
        <v>11</v>
      </c>
      <c r="E279" t="s">
        <v>449</v>
      </c>
      <c r="F279" t="s">
        <v>449</v>
      </c>
      <c r="G279" t="s">
        <v>853</v>
      </c>
      <c r="H279" t="s">
        <v>845</v>
      </c>
      <c r="I279" t="s">
        <v>853</v>
      </c>
    </row>
    <row r="280" spans="1:9" x14ac:dyDescent="0.2">
      <c r="A280" t="str">
        <f>"8898930D56"</f>
        <v>8898930D56</v>
      </c>
      <c r="B280" t="s">
        <v>9</v>
      </c>
      <c r="C280" t="s">
        <v>854</v>
      </c>
      <c r="D280" t="s">
        <v>11</v>
      </c>
      <c r="E280" t="s">
        <v>778</v>
      </c>
      <c r="F280" t="s">
        <v>778</v>
      </c>
      <c r="G280" t="s">
        <v>855</v>
      </c>
      <c r="H280" t="s">
        <v>849</v>
      </c>
      <c r="I280" t="s">
        <v>323</v>
      </c>
    </row>
    <row r="281" spans="1:9" x14ac:dyDescent="0.2">
      <c r="A281" t="str">
        <f>"889543050E"</f>
        <v>889543050E</v>
      </c>
      <c r="B281" t="s">
        <v>9</v>
      </c>
      <c r="C281" t="s">
        <v>856</v>
      </c>
      <c r="D281" t="s">
        <v>11</v>
      </c>
      <c r="E281" t="s">
        <v>857</v>
      </c>
      <c r="F281" t="s">
        <v>857</v>
      </c>
      <c r="G281" t="s">
        <v>858</v>
      </c>
      <c r="H281" t="s">
        <v>859</v>
      </c>
      <c r="I281" t="s">
        <v>323</v>
      </c>
    </row>
    <row r="282" spans="1:9" x14ac:dyDescent="0.2">
      <c r="A282" t="str">
        <f>"88992304EA"</f>
        <v>88992304EA</v>
      </c>
      <c r="B282" t="s">
        <v>9</v>
      </c>
      <c r="C282" t="s">
        <v>860</v>
      </c>
      <c r="D282" t="s">
        <v>37</v>
      </c>
      <c r="E282" t="s">
        <v>41</v>
      </c>
      <c r="F282" t="s">
        <v>41</v>
      </c>
      <c r="G282" t="s">
        <v>861</v>
      </c>
      <c r="H282" t="s">
        <v>862</v>
      </c>
      <c r="I282" t="s">
        <v>861</v>
      </c>
    </row>
    <row r="283" spans="1:9" x14ac:dyDescent="0.2">
      <c r="A283" t="str">
        <f>"8895495AB0"</f>
        <v>8895495AB0</v>
      </c>
      <c r="B283" t="s">
        <v>9</v>
      </c>
      <c r="C283" t="s">
        <v>863</v>
      </c>
      <c r="D283" t="s">
        <v>11</v>
      </c>
      <c r="E283" t="s">
        <v>83</v>
      </c>
      <c r="F283" t="s">
        <v>83</v>
      </c>
      <c r="G283" t="s">
        <v>864</v>
      </c>
      <c r="H283" t="s">
        <v>845</v>
      </c>
      <c r="I283" t="s">
        <v>864</v>
      </c>
    </row>
    <row r="284" spans="1:9" x14ac:dyDescent="0.2">
      <c r="A284" t="str">
        <f>"8863783121"</f>
        <v>8863783121</v>
      </c>
      <c r="B284" t="s">
        <v>9</v>
      </c>
      <c r="C284" t="s">
        <v>865</v>
      </c>
      <c r="D284" t="s">
        <v>11</v>
      </c>
      <c r="E284" t="s">
        <v>647</v>
      </c>
      <c r="F284" t="s">
        <v>647</v>
      </c>
      <c r="G284" t="s">
        <v>866</v>
      </c>
      <c r="H284" t="s">
        <v>867</v>
      </c>
      <c r="I284" t="s">
        <v>868</v>
      </c>
    </row>
    <row r="285" spans="1:9" x14ac:dyDescent="0.2">
      <c r="A285" t="str">
        <f>"88864892B6"</f>
        <v>88864892B6</v>
      </c>
      <c r="B285" t="s">
        <v>9</v>
      </c>
      <c r="C285" t="s">
        <v>869</v>
      </c>
      <c r="D285" t="s">
        <v>11</v>
      </c>
      <c r="E285" t="s">
        <v>602</v>
      </c>
      <c r="F285" t="s">
        <v>602</v>
      </c>
      <c r="G285" t="s">
        <v>870</v>
      </c>
      <c r="H285" t="s">
        <v>871</v>
      </c>
      <c r="I285" t="s">
        <v>870</v>
      </c>
    </row>
    <row r="286" spans="1:9" x14ac:dyDescent="0.2">
      <c r="A286" t="str">
        <f>"8886493602"</f>
        <v>8886493602</v>
      </c>
      <c r="B286" t="s">
        <v>9</v>
      </c>
      <c r="C286" t="s">
        <v>872</v>
      </c>
      <c r="D286" t="s">
        <v>11</v>
      </c>
      <c r="E286" t="s">
        <v>873</v>
      </c>
      <c r="F286" t="s">
        <v>873</v>
      </c>
      <c r="G286" t="s">
        <v>874</v>
      </c>
      <c r="H286" t="s">
        <v>875</v>
      </c>
      <c r="I286" t="s">
        <v>874</v>
      </c>
    </row>
    <row r="287" spans="1:9" x14ac:dyDescent="0.2">
      <c r="A287" t="str">
        <f>"8805792171"</f>
        <v>8805792171</v>
      </c>
      <c r="B287" t="s">
        <v>9</v>
      </c>
      <c r="C287" t="s">
        <v>876</v>
      </c>
      <c r="D287" t="s">
        <v>11</v>
      </c>
      <c r="E287" t="s">
        <v>46</v>
      </c>
      <c r="F287" t="s">
        <v>46</v>
      </c>
      <c r="G287" t="s">
        <v>877</v>
      </c>
      <c r="H287" t="s">
        <v>878</v>
      </c>
      <c r="I287" t="s">
        <v>877</v>
      </c>
    </row>
    <row r="288" spans="1:9" x14ac:dyDescent="0.2">
      <c r="A288" t="str">
        <f>"88827125D4"</f>
        <v>88827125D4</v>
      </c>
      <c r="B288" t="s">
        <v>9</v>
      </c>
      <c r="C288" t="s">
        <v>879</v>
      </c>
      <c r="D288" t="s">
        <v>11</v>
      </c>
      <c r="E288" t="s">
        <v>334</v>
      </c>
      <c r="F288" t="s">
        <v>334</v>
      </c>
      <c r="G288" t="s">
        <v>880</v>
      </c>
      <c r="H288" t="s">
        <v>881</v>
      </c>
      <c r="I288" t="s">
        <v>880</v>
      </c>
    </row>
    <row r="289" spans="1:9" x14ac:dyDescent="0.2">
      <c r="A289" t="str">
        <f>"8882699B18"</f>
        <v>8882699B18</v>
      </c>
      <c r="B289" t="s">
        <v>9</v>
      </c>
      <c r="C289" t="s">
        <v>882</v>
      </c>
      <c r="D289" t="s">
        <v>11</v>
      </c>
      <c r="E289" t="s">
        <v>86</v>
      </c>
      <c r="F289" t="s">
        <v>86</v>
      </c>
      <c r="G289" t="s">
        <v>883</v>
      </c>
      <c r="H289" t="s">
        <v>884</v>
      </c>
      <c r="I289" t="s">
        <v>883</v>
      </c>
    </row>
    <row r="290" spans="1:9" x14ac:dyDescent="0.2">
      <c r="A290" t="str">
        <f>"88826209E7"</f>
        <v>88826209E7</v>
      </c>
      <c r="B290" t="s">
        <v>9</v>
      </c>
      <c r="C290" t="s">
        <v>885</v>
      </c>
      <c r="D290" t="s">
        <v>11</v>
      </c>
      <c r="E290" t="s">
        <v>340</v>
      </c>
      <c r="F290" t="s">
        <v>340</v>
      </c>
      <c r="G290" t="s">
        <v>886</v>
      </c>
      <c r="H290" t="s">
        <v>884</v>
      </c>
      <c r="I290" t="s">
        <v>886</v>
      </c>
    </row>
    <row r="291" spans="1:9" x14ac:dyDescent="0.2">
      <c r="A291" t="str">
        <f>"8882732655"</f>
        <v>8882732655</v>
      </c>
      <c r="B291" t="s">
        <v>9</v>
      </c>
      <c r="C291" t="s">
        <v>887</v>
      </c>
      <c r="D291" t="s">
        <v>11</v>
      </c>
      <c r="E291" t="s">
        <v>888</v>
      </c>
      <c r="F291" t="s">
        <v>888</v>
      </c>
      <c r="G291" t="s">
        <v>889</v>
      </c>
      <c r="H291" t="s">
        <v>890</v>
      </c>
      <c r="I291" t="s">
        <v>889</v>
      </c>
    </row>
    <row r="292" spans="1:9" x14ac:dyDescent="0.2">
      <c r="A292" t="str">
        <f>"8804859F7D"</f>
        <v>8804859F7D</v>
      </c>
      <c r="B292" t="s">
        <v>9</v>
      </c>
      <c r="C292" t="s">
        <v>891</v>
      </c>
      <c r="D292" t="s">
        <v>11</v>
      </c>
      <c r="E292" t="s">
        <v>346</v>
      </c>
      <c r="F292" t="s">
        <v>346</v>
      </c>
      <c r="G292" t="s">
        <v>892</v>
      </c>
      <c r="H292" t="s">
        <v>893</v>
      </c>
      <c r="I292" t="s">
        <v>892</v>
      </c>
    </row>
    <row r="293" spans="1:9" x14ac:dyDescent="0.2">
      <c r="A293" t="str">
        <f>"8870145337"</f>
        <v>8870145337</v>
      </c>
      <c r="B293" t="s">
        <v>9</v>
      </c>
      <c r="C293" t="s">
        <v>894</v>
      </c>
      <c r="D293" t="s">
        <v>11</v>
      </c>
      <c r="E293" t="s">
        <v>86</v>
      </c>
      <c r="F293" t="s">
        <v>86</v>
      </c>
      <c r="G293" t="s">
        <v>895</v>
      </c>
      <c r="H293" t="s">
        <v>896</v>
      </c>
      <c r="I293" t="s">
        <v>895</v>
      </c>
    </row>
    <row r="294" spans="1:9" x14ac:dyDescent="0.2">
      <c r="A294" t="str">
        <f>"8870198EF0"</f>
        <v>8870198EF0</v>
      </c>
      <c r="B294" t="s">
        <v>9</v>
      </c>
      <c r="C294" t="s">
        <v>897</v>
      </c>
      <c r="D294" t="s">
        <v>11</v>
      </c>
      <c r="E294" t="s">
        <v>337</v>
      </c>
      <c r="F294" t="s">
        <v>337</v>
      </c>
      <c r="G294" t="s">
        <v>898</v>
      </c>
      <c r="H294" t="s">
        <v>899</v>
      </c>
      <c r="I294" t="s">
        <v>898</v>
      </c>
    </row>
    <row r="295" spans="1:9" x14ac:dyDescent="0.2">
      <c r="A295" t="str">
        <f>"88701821C0"</f>
        <v>88701821C0</v>
      </c>
      <c r="B295" t="s">
        <v>9</v>
      </c>
      <c r="C295" t="s">
        <v>900</v>
      </c>
      <c r="D295" t="s">
        <v>11</v>
      </c>
      <c r="E295" t="s">
        <v>610</v>
      </c>
      <c r="F295" t="s">
        <v>610</v>
      </c>
      <c r="G295" t="s">
        <v>901</v>
      </c>
      <c r="H295" t="s">
        <v>902</v>
      </c>
      <c r="I295" t="s">
        <v>323</v>
      </c>
    </row>
    <row r="296" spans="1:9" x14ac:dyDescent="0.2">
      <c r="A296" t="str">
        <f>"886721407B"</f>
        <v>886721407B</v>
      </c>
      <c r="B296" t="s">
        <v>9</v>
      </c>
      <c r="C296" t="s">
        <v>903</v>
      </c>
      <c r="D296" t="s">
        <v>11</v>
      </c>
      <c r="E296" t="s">
        <v>610</v>
      </c>
      <c r="F296" t="s">
        <v>610</v>
      </c>
      <c r="G296" t="s">
        <v>904</v>
      </c>
      <c r="H296" t="s">
        <v>905</v>
      </c>
      <c r="I296" t="s">
        <v>904</v>
      </c>
    </row>
    <row r="297" spans="1:9" x14ac:dyDescent="0.2">
      <c r="A297" t="str">
        <f>"8867905AB3"</f>
        <v>8867905AB3</v>
      </c>
      <c r="B297" t="s">
        <v>9</v>
      </c>
      <c r="C297" t="s">
        <v>906</v>
      </c>
      <c r="D297" t="s">
        <v>11</v>
      </c>
      <c r="E297" t="s">
        <v>907</v>
      </c>
      <c r="F297" t="s">
        <v>907</v>
      </c>
      <c r="G297" t="s">
        <v>908</v>
      </c>
      <c r="H297" t="s">
        <v>902</v>
      </c>
      <c r="I297" t="s">
        <v>323</v>
      </c>
    </row>
    <row r="298" spans="1:9" x14ac:dyDescent="0.2">
      <c r="A298" t="str">
        <f>"88672340FC"</f>
        <v>88672340FC</v>
      </c>
      <c r="B298" t="s">
        <v>9</v>
      </c>
      <c r="C298" t="s">
        <v>909</v>
      </c>
      <c r="D298" t="s">
        <v>11</v>
      </c>
      <c r="E298" t="s">
        <v>910</v>
      </c>
      <c r="F298" t="s">
        <v>910</v>
      </c>
      <c r="G298" t="s">
        <v>13</v>
      </c>
      <c r="H298" t="s">
        <v>911</v>
      </c>
      <c r="I298" t="s">
        <v>13</v>
      </c>
    </row>
    <row r="299" spans="1:9" x14ac:dyDescent="0.2">
      <c r="A299" t="str">
        <f>"8867619EAE"</f>
        <v>8867619EAE</v>
      </c>
      <c r="B299" t="s">
        <v>9</v>
      </c>
      <c r="C299" t="s">
        <v>912</v>
      </c>
      <c r="D299" t="s">
        <v>11</v>
      </c>
      <c r="E299" t="s">
        <v>83</v>
      </c>
      <c r="F299" t="s">
        <v>83</v>
      </c>
      <c r="G299" t="s">
        <v>913</v>
      </c>
      <c r="H299" t="s">
        <v>902</v>
      </c>
      <c r="I299" t="s">
        <v>323</v>
      </c>
    </row>
    <row r="300" spans="1:9" x14ac:dyDescent="0.2">
      <c r="A300" t="str">
        <f>"886759393B"</f>
        <v>886759393B</v>
      </c>
      <c r="B300" t="s">
        <v>9</v>
      </c>
      <c r="C300" t="s">
        <v>914</v>
      </c>
      <c r="D300" t="s">
        <v>11</v>
      </c>
      <c r="E300" t="s">
        <v>610</v>
      </c>
      <c r="F300" t="s">
        <v>610</v>
      </c>
      <c r="G300" t="s">
        <v>915</v>
      </c>
      <c r="H300" t="s">
        <v>902</v>
      </c>
      <c r="I300" t="s">
        <v>323</v>
      </c>
    </row>
    <row r="301" spans="1:9" x14ac:dyDescent="0.2">
      <c r="A301" t="str">
        <f>"8867226A5F"</f>
        <v>8867226A5F</v>
      </c>
      <c r="B301" t="s">
        <v>9</v>
      </c>
      <c r="C301" t="s">
        <v>916</v>
      </c>
      <c r="D301" t="s">
        <v>11</v>
      </c>
      <c r="E301" t="s">
        <v>917</v>
      </c>
      <c r="F301" t="s">
        <v>917</v>
      </c>
      <c r="G301" t="s">
        <v>105</v>
      </c>
      <c r="H301" t="s">
        <v>918</v>
      </c>
      <c r="I301" t="s">
        <v>105</v>
      </c>
    </row>
    <row r="302" spans="1:9" x14ac:dyDescent="0.2">
      <c r="A302" t="str">
        <f>"8867754E16"</f>
        <v>8867754E16</v>
      </c>
      <c r="B302" t="s">
        <v>9</v>
      </c>
      <c r="C302" t="s">
        <v>919</v>
      </c>
      <c r="D302" t="s">
        <v>11</v>
      </c>
      <c r="E302" t="s">
        <v>107</v>
      </c>
      <c r="F302" t="s">
        <v>107</v>
      </c>
      <c r="G302" t="s">
        <v>920</v>
      </c>
      <c r="H302" t="s">
        <v>921</v>
      </c>
      <c r="I302" t="s">
        <v>920</v>
      </c>
    </row>
    <row r="303" spans="1:9" x14ac:dyDescent="0.2">
      <c r="A303" t="str">
        <f>"88678415E4"</f>
        <v>88678415E4</v>
      </c>
      <c r="B303" t="s">
        <v>9</v>
      </c>
      <c r="C303" t="s">
        <v>922</v>
      </c>
      <c r="D303" t="s">
        <v>11</v>
      </c>
      <c r="E303" t="s">
        <v>626</v>
      </c>
      <c r="F303" t="s">
        <v>626</v>
      </c>
      <c r="G303" t="s">
        <v>923</v>
      </c>
      <c r="H303" t="s">
        <v>924</v>
      </c>
      <c r="I303" t="s">
        <v>923</v>
      </c>
    </row>
    <row r="304" spans="1:9" x14ac:dyDescent="0.2">
      <c r="A304" t="str">
        <f>"886766115B"</f>
        <v>886766115B</v>
      </c>
      <c r="B304" t="s">
        <v>9</v>
      </c>
      <c r="C304" t="s">
        <v>925</v>
      </c>
      <c r="D304" t="s">
        <v>11</v>
      </c>
      <c r="E304" t="s">
        <v>83</v>
      </c>
      <c r="F304" t="s">
        <v>83</v>
      </c>
      <c r="G304" t="s">
        <v>926</v>
      </c>
      <c r="H304" t="s">
        <v>927</v>
      </c>
      <c r="I304" t="s">
        <v>926</v>
      </c>
    </row>
    <row r="305" spans="1:9" x14ac:dyDescent="0.2">
      <c r="A305" t="str">
        <f>"88683233A7"</f>
        <v>88683233A7</v>
      </c>
      <c r="B305" t="s">
        <v>9</v>
      </c>
      <c r="C305" t="s">
        <v>928</v>
      </c>
      <c r="D305" t="s">
        <v>11</v>
      </c>
      <c r="E305" t="s">
        <v>929</v>
      </c>
      <c r="F305" t="s">
        <v>929</v>
      </c>
      <c r="G305" t="s">
        <v>930</v>
      </c>
      <c r="H305" t="s">
        <v>931</v>
      </c>
      <c r="I305" t="s">
        <v>932</v>
      </c>
    </row>
    <row r="306" spans="1:9" x14ac:dyDescent="0.2">
      <c r="A306" t="str">
        <f>"8863543B10"</f>
        <v>8863543B10</v>
      </c>
      <c r="B306" t="s">
        <v>9</v>
      </c>
      <c r="C306" t="s">
        <v>933</v>
      </c>
      <c r="D306" t="s">
        <v>11</v>
      </c>
      <c r="E306" t="s">
        <v>83</v>
      </c>
      <c r="F306" t="s">
        <v>83</v>
      </c>
      <c r="G306" t="s">
        <v>934</v>
      </c>
      <c r="H306" t="s">
        <v>935</v>
      </c>
      <c r="I306" t="s">
        <v>934</v>
      </c>
    </row>
    <row r="307" spans="1:9" x14ac:dyDescent="0.2">
      <c r="A307" t="str">
        <f>"88628764A5"</f>
        <v>88628764A5</v>
      </c>
      <c r="B307" t="s">
        <v>9</v>
      </c>
      <c r="C307" t="s">
        <v>936</v>
      </c>
      <c r="D307" t="s">
        <v>11</v>
      </c>
      <c r="E307" t="s">
        <v>937</v>
      </c>
      <c r="F307" t="s">
        <v>937</v>
      </c>
      <c r="G307" t="s">
        <v>938</v>
      </c>
      <c r="H307" t="s">
        <v>939</v>
      </c>
      <c r="I307" t="s">
        <v>323</v>
      </c>
    </row>
    <row r="308" spans="1:9" x14ac:dyDescent="0.2">
      <c r="A308" t="str">
        <f>"88331745C7"</f>
        <v>88331745C7</v>
      </c>
      <c r="B308" t="s">
        <v>9</v>
      </c>
      <c r="C308" t="s">
        <v>940</v>
      </c>
      <c r="D308" t="s">
        <v>11</v>
      </c>
      <c r="E308" t="s">
        <v>46</v>
      </c>
      <c r="F308" t="s">
        <v>46</v>
      </c>
      <c r="G308" t="s">
        <v>941</v>
      </c>
      <c r="H308" t="s">
        <v>942</v>
      </c>
      <c r="I308" t="s">
        <v>943</v>
      </c>
    </row>
    <row r="309" spans="1:9" x14ac:dyDescent="0.2">
      <c r="A309" t="str">
        <f>"88384442B9"</f>
        <v>88384442B9</v>
      </c>
      <c r="B309" t="s">
        <v>9</v>
      </c>
      <c r="C309" t="s">
        <v>944</v>
      </c>
      <c r="D309" t="s">
        <v>37</v>
      </c>
      <c r="E309" t="s">
        <v>41</v>
      </c>
      <c r="F309" t="s">
        <v>41</v>
      </c>
      <c r="G309" t="s">
        <v>945</v>
      </c>
      <c r="H309" t="s">
        <v>946</v>
      </c>
      <c r="I309" t="s">
        <v>945</v>
      </c>
    </row>
    <row r="310" spans="1:9" x14ac:dyDescent="0.2">
      <c r="A310" t="str">
        <f>"8860258434"</f>
        <v>8860258434</v>
      </c>
      <c r="B310" t="s">
        <v>9</v>
      </c>
      <c r="C310" t="s">
        <v>947</v>
      </c>
      <c r="D310" t="s">
        <v>11</v>
      </c>
      <c r="E310" t="s">
        <v>270</v>
      </c>
      <c r="F310" t="s">
        <v>270</v>
      </c>
      <c r="G310" t="s">
        <v>948</v>
      </c>
      <c r="H310" t="s">
        <v>949</v>
      </c>
      <c r="I310" t="s">
        <v>948</v>
      </c>
    </row>
    <row r="311" spans="1:9" x14ac:dyDescent="0.2">
      <c r="A311" t="str">
        <f>"886007907E"</f>
        <v>886007907E</v>
      </c>
      <c r="B311" t="s">
        <v>9</v>
      </c>
      <c r="C311" t="s">
        <v>950</v>
      </c>
      <c r="D311" t="s">
        <v>11</v>
      </c>
      <c r="E311" t="s">
        <v>951</v>
      </c>
      <c r="F311" t="s">
        <v>951</v>
      </c>
      <c r="G311" t="s">
        <v>952</v>
      </c>
      <c r="H311" t="s">
        <v>949</v>
      </c>
      <c r="I311" t="s">
        <v>952</v>
      </c>
    </row>
    <row r="312" spans="1:9" x14ac:dyDescent="0.2">
      <c r="A312" t="str">
        <f>"886039988E"</f>
        <v>886039988E</v>
      </c>
      <c r="B312" t="s">
        <v>9</v>
      </c>
      <c r="C312" t="s">
        <v>953</v>
      </c>
      <c r="D312" t="s">
        <v>11</v>
      </c>
      <c r="E312" t="s">
        <v>328</v>
      </c>
      <c r="F312" t="s">
        <v>328</v>
      </c>
      <c r="G312" t="s">
        <v>954</v>
      </c>
      <c r="H312" t="s">
        <v>949</v>
      </c>
      <c r="I312" t="s">
        <v>954</v>
      </c>
    </row>
    <row r="313" spans="1:9" x14ac:dyDescent="0.2">
      <c r="A313" t="str">
        <f>"88536696C9"</f>
        <v>88536696C9</v>
      </c>
      <c r="B313" t="s">
        <v>9</v>
      </c>
      <c r="C313" t="s">
        <v>955</v>
      </c>
      <c r="D313" t="s">
        <v>11</v>
      </c>
      <c r="E313" t="s">
        <v>956</v>
      </c>
      <c r="F313" t="s">
        <v>956</v>
      </c>
      <c r="G313" t="s">
        <v>63</v>
      </c>
      <c r="H313" t="s">
        <v>957</v>
      </c>
      <c r="I313" t="s">
        <v>63</v>
      </c>
    </row>
    <row r="314" spans="1:9" x14ac:dyDescent="0.2">
      <c r="A314" t="str">
        <f>"864775512F"</f>
        <v>864775512F</v>
      </c>
      <c r="B314" t="s">
        <v>9</v>
      </c>
      <c r="C314" t="s">
        <v>958</v>
      </c>
      <c r="D314" t="s">
        <v>37</v>
      </c>
      <c r="E314" t="s">
        <v>959</v>
      </c>
      <c r="F314" t="s">
        <v>959</v>
      </c>
      <c r="G314" t="s">
        <v>960</v>
      </c>
      <c r="H314" t="s">
        <v>961</v>
      </c>
      <c r="I314" t="s">
        <v>962</v>
      </c>
    </row>
    <row r="315" spans="1:9" x14ac:dyDescent="0.2">
      <c r="A315" t="str">
        <f>"88537444AE"</f>
        <v>88537444AE</v>
      </c>
      <c r="B315" t="s">
        <v>9</v>
      </c>
      <c r="C315" t="s">
        <v>963</v>
      </c>
      <c r="D315" t="s">
        <v>11</v>
      </c>
      <c r="E315" t="s">
        <v>964</v>
      </c>
      <c r="F315" t="s">
        <v>964</v>
      </c>
      <c r="G315" t="s">
        <v>965</v>
      </c>
      <c r="H315" t="s">
        <v>966</v>
      </c>
      <c r="I315" t="s">
        <v>965</v>
      </c>
    </row>
    <row r="316" spans="1:9" x14ac:dyDescent="0.2">
      <c r="A316" t="str">
        <f>"8853649648"</f>
        <v>8853649648</v>
      </c>
      <c r="B316" t="s">
        <v>9</v>
      </c>
      <c r="C316" t="s">
        <v>967</v>
      </c>
      <c r="D316" t="s">
        <v>11</v>
      </c>
      <c r="E316" t="s">
        <v>968</v>
      </c>
      <c r="F316" t="s">
        <v>968</v>
      </c>
      <c r="G316" t="s">
        <v>433</v>
      </c>
      <c r="H316" t="s">
        <v>969</v>
      </c>
    </row>
    <row r="317" spans="1:9" x14ac:dyDescent="0.2">
      <c r="A317" t="str">
        <f>"885370547F"</f>
        <v>885370547F</v>
      </c>
      <c r="B317" t="s">
        <v>9</v>
      </c>
      <c r="C317" t="s">
        <v>970</v>
      </c>
      <c r="D317" t="s">
        <v>11</v>
      </c>
      <c r="E317" t="s">
        <v>12</v>
      </c>
      <c r="F317" t="s">
        <v>12</v>
      </c>
      <c r="G317" t="s">
        <v>433</v>
      </c>
      <c r="H317" t="s">
        <v>971</v>
      </c>
      <c r="I317" t="s">
        <v>433</v>
      </c>
    </row>
    <row r="318" spans="1:9" x14ac:dyDescent="0.2">
      <c r="A318" t="str">
        <f>"88523240DD"</f>
        <v>88523240DD</v>
      </c>
      <c r="B318" t="s">
        <v>9</v>
      </c>
      <c r="C318" t="s">
        <v>972</v>
      </c>
      <c r="D318" t="s">
        <v>11</v>
      </c>
      <c r="E318" t="s">
        <v>973</v>
      </c>
      <c r="F318" t="s">
        <v>973</v>
      </c>
      <c r="G318" t="s">
        <v>433</v>
      </c>
      <c r="H318" t="s">
        <v>974</v>
      </c>
      <c r="I318" t="s">
        <v>433</v>
      </c>
    </row>
    <row r="319" spans="1:9" x14ac:dyDescent="0.2">
      <c r="A319" t="str">
        <f>"8852420016"</f>
        <v>8852420016</v>
      </c>
      <c r="B319" t="s">
        <v>9</v>
      </c>
      <c r="C319" t="s">
        <v>975</v>
      </c>
      <c r="D319" t="s">
        <v>11</v>
      </c>
      <c r="E319" t="s">
        <v>976</v>
      </c>
      <c r="F319" t="s">
        <v>976</v>
      </c>
      <c r="G319" t="s">
        <v>433</v>
      </c>
      <c r="H319" t="s">
        <v>977</v>
      </c>
      <c r="I319" t="s">
        <v>433</v>
      </c>
    </row>
    <row r="320" spans="1:9" x14ac:dyDescent="0.2">
      <c r="A320" t="str">
        <f>"8805116396"</f>
        <v>8805116396</v>
      </c>
      <c r="B320" t="s">
        <v>9</v>
      </c>
      <c r="C320" t="s">
        <v>978</v>
      </c>
      <c r="D320" t="s">
        <v>11</v>
      </c>
      <c r="E320" t="s">
        <v>979</v>
      </c>
      <c r="F320" t="s">
        <v>979</v>
      </c>
      <c r="G320" t="s">
        <v>102</v>
      </c>
      <c r="H320" t="s">
        <v>980</v>
      </c>
      <c r="I320" t="s">
        <v>102</v>
      </c>
    </row>
    <row r="321" spans="1:9" x14ac:dyDescent="0.2">
      <c r="A321" t="str">
        <f>"8850164A5D"</f>
        <v>8850164A5D</v>
      </c>
      <c r="B321" t="s">
        <v>9</v>
      </c>
      <c r="C321" t="s">
        <v>981</v>
      </c>
      <c r="D321" t="s">
        <v>11</v>
      </c>
      <c r="E321" t="s">
        <v>982</v>
      </c>
      <c r="F321" t="s">
        <v>982</v>
      </c>
      <c r="G321" t="s">
        <v>414</v>
      </c>
      <c r="H321" t="s">
        <v>983</v>
      </c>
      <c r="I321" t="s">
        <v>414</v>
      </c>
    </row>
    <row r="322" spans="1:9" x14ac:dyDescent="0.2">
      <c r="A322" t="str">
        <f>"88294726CA"</f>
        <v>88294726CA</v>
      </c>
      <c r="B322" t="s">
        <v>9</v>
      </c>
      <c r="C322" t="s">
        <v>984</v>
      </c>
      <c r="D322" t="s">
        <v>11</v>
      </c>
      <c r="E322" t="s">
        <v>985</v>
      </c>
      <c r="F322" t="s">
        <v>985</v>
      </c>
      <c r="G322" t="s">
        <v>880</v>
      </c>
      <c r="H322" t="s">
        <v>986</v>
      </c>
      <c r="I322" t="s">
        <v>880</v>
      </c>
    </row>
    <row r="323" spans="1:9" x14ac:dyDescent="0.2">
      <c r="A323" t="str">
        <f>"88630693EA"</f>
        <v>88630693EA</v>
      </c>
      <c r="B323" t="s">
        <v>9</v>
      </c>
      <c r="C323" t="s">
        <v>987</v>
      </c>
      <c r="D323" t="s">
        <v>11</v>
      </c>
      <c r="E323" t="s">
        <v>270</v>
      </c>
      <c r="F323" t="s">
        <v>270</v>
      </c>
      <c r="G323" t="s">
        <v>988</v>
      </c>
      <c r="H323" t="s">
        <v>989</v>
      </c>
      <c r="I323" t="s">
        <v>988</v>
      </c>
    </row>
    <row r="324" spans="1:9" x14ac:dyDescent="0.2">
      <c r="A324" t="str">
        <f>"8833508966"</f>
        <v>8833508966</v>
      </c>
      <c r="B324" t="s">
        <v>9</v>
      </c>
      <c r="C324" t="s">
        <v>990</v>
      </c>
      <c r="D324" t="s">
        <v>11</v>
      </c>
      <c r="E324" t="s">
        <v>83</v>
      </c>
      <c r="F324" t="s">
        <v>83</v>
      </c>
      <c r="G324" t="s">
        <v>991</v>
      </c>
      <c r="H324" t="s">
        <v>989</v>
      </c>
      <c r="I324" t="s">
        <v>991</v>
      </c>
    </row>
    <row r="325" spans="1:9" x14ac:dyDescent="0.2">
      <c r="A325" t="str">
        <f>"88336839D0"</f>
        <v>88336839D0</v>
      </c>
      <c r="B325" t="s">
        <v>9</v>
      </c>
      <c r="C325" t="s">
        <v>992</v>
      </c>
      <c r="D325" t="s">
        <v>11</v>
      </c>
      <c r="E325" t="s">
        <v>993</v>
      </c>
      <c r="F325" t="s">
        <v>993</v>
      </c>
      <c r="G325" t="s">
        <v>994</v>
      </c>
      <c r="H325" t="s">
        <v>989</v>
      </c>
      <c r="I325" t="s">
        <v>994</v>
      </c>
    </row>
    <row r="326" spans="1:9" x14ac:dyDescent="0.2">
      <c r="A326" t="str">
        <f>"8860047614"</f>
        <v>8860047614</v>
      </c>
      <c r="B326" t="s">
        <v>9</v>
      </c>
      <c r="C326" t="s">
        <v>995</v>
      </c>
      <c r="D326" t="s">
        <v>11</v>
      </c>
      <c r="E326" t="s">
        <v>270</v>
      </c>
      <c r="F326" t="s">
        <v>270</v>
      </c>
      <c r="G326" t="s">
        <v>996</v>
      </c>
      <c r="H326" t="s">
        <v>989</v>
      </c>
      <c r="I326" t="s">
        <v>996</v>
      </c>
    </row>
    <row r="327" spans="1:9" x14ac:dyDescent="0.2">
      <c r="A327" t="str">
        <f>"8837858F20"</f>
        <v>8837858F20</v>
      </c>
      <c r="B327" t="s">
        <v>9</v>
      </c>
      <c r="C327" t="s">
        <v>997</v>
      </c>
      <c r="D327" t="s">
        <v>11</v>
      </c>
      <c r="E327" t="s">
        <v>998</v>
      </c>
      <c r="F327" t="s">
        <v>998</v>
      </c>
      <c r="G327" t="s">
        <v>999</v>
      </c>
      <c r="H327" t="s">
        <v>1000</v>
      </c>
      <c r="I327" t="s">
        <v>999</v>
      </c>
    </row>
    <row r="328" spans="1:9" x14ac:dyDescent="0.2">
      <c r="A328" t="str">
        <f>"88383179E9"</f>
        <v>88383179E9</v>
      </c>
      <c r="B328" t="s">
        <v>9</v>
      </c>
      <c r="C328" t="s">
        <v>1001</v>
      </c>
      <c r="D328" t="s">
        <v>11</v>
      </c>
      <c r="E328" t="s">
        <v>1002</v>
      </c>
      <c r="F328" t="s">
        <v>1002</v>
      </c>
      <c r="G328" t="s">
        <v>1003</v>
      </c>
      <c r="H328" t="s">
        <v>1004</v>
      </c>
      <c r="I328" t="s">
        <v>1005</v>
      </c>
    </row>
    <row r="329" spans="1:9" x14ac:dyDescent="0.2">
      <c r="A329" t="str">
        <f>"88384095D6"</f>
        <v>88384095D6</v>
      </c>
      <c r="B329" t="s">
        <v>9</v>
      </c>
      <c r="C329" t="s">
        <v>1006</v>
      </c>
      <c r="D329" t="s">
        <v>11</v>
      </c>
      <c r="E329" t="s">
        <v>1007</v>
      </c>
      <c r="F329" t="s">
        <v>1007</v>
      </c>
      <c r="G329" t="s">
        <v>1008</v>
      </c>
      <c r="H329" t="s">
        <v>1009</v>
      </c>
      <c r="I329" t="s">
        <v>1008</v>
      </c>
    </row>
    <row r="330" spans="1:9" x14ac:dyDescent="0.2">
      <c r="A330" t="str">
        <f>"8819684979"</f>
        <v>8819684979</v>
      </c>
      <c r="B330" t="s">
        <v>9</v>
      </c>
      <c r="C330" t="s">
        <v>1010</v>
      </c>
      <c r="D330" t="s">
        <v>11</v>
      </c>
      <c r="E330" t="s">
        <v>1011</v>
      </c>
      <c r="F330" t="s">
        <v>1011</v>
      </c>
      <c r="G330" t="s">
        <v>1012</v>
      </c>
      <c r="H330" t="s">
        <v>1013</v>
      </c>
      <c r="I330" t="s">
        <v>1012</v>
      </c>
    </row>
    <row r="331" spans="1:9" x14ac:dyDescent="0.2">
      <c r="A331" t="str">
        <f>"8833556105"</f>
        <v>8833556105</v>
      </c>
      <c r="B331" t="s">
        <v>9</v>
      </c>
      <c r="C331" t="s">
        <v>1014</v>
      </c>
      <c r="D331" t="s">
        <v>11</v>
      </c>
      <c r="E331" t="s">
        <v>1015</v>
      </c>
      <c r="F331" t="s">
        <v>1015</v>
      </c>
      <c r="G331" t="s">
        <v>1016</v>
      </c>
      <c r="H331" t="s">
        <v>1017</v>
      </c>
      <c r="I331" t="s">
        <v>1016</v>
      </c>
    </row>
    <row r="332" spans="1:9" x14ac:dyDescent="0.2">
      <c r="A332" t="str">
        <f>"8840421232"</f>
        <v>8840421232</v>
      </c>
      <c r="B332" t="s">
        <v>9</v>
      </c>
      <c r="C332" t="s">
        <v>1018</v>
      </c>
      <c r="D332" t="s">
        <v>11</v>
      </c>
      <c r="E332" t="s">
        <v>1019</v>
      </c>
      <c r="F332" t="s">
        <v>1019</v>
      </c>
      <c r="G332" t="s">
        <v>1020</v>
      </c>
      <c r="H332" t="s">
        <v>1017</v>
      </c>
      <c r="I332" t="s">
        <v>1020</v>
      </c>
    </row>
    <row r="333" spans="1:9" x14ac:dyDescent="0.2">
      <c r="A333" t="str">
        <f>"8747133A7E"</f>
        <v>8747133A7E</v>
      </c>
      <c r="B333" t="s">
        <v>9</v>
      </c>
      <c r="C333" t="s">
        <v>1021</v>
      </c>
      <c r="D333" t="s">
        <v>11</v>
      </c>
      <c r="E333" t="s">
        <v>1022</v>
      </c>
      <c r="F333" t="s">
        <v>1022</v>
      </c>
      <c r="G333" t="s">
        <v>1023</v>
      </c>
      <c r="H333" t="s">
        <v>1024</v>
      </c>
    </row>
    <row r="334" spans="1:9" x14ac:dyDescent="0.2">
      <c r="A334" t="str">
        <f>"8839768751"</f>
        <v>8839768751</v>
      </c>
      <c r="B334" t="s">
        <v>9</v>
      </c>
      <c r="C334" t="s">
        <v>1025</v>
      </c>
      <c r="D334" t="s">
        <v>11</v>
      </c>
      <c r="E334" t="s">
        <v>1026</v>
      </c>
      <c r="F334" t="s">
        <v>1026</v>
      </c>
      <c r="G334" t="s">
        <v>1027</v>
      </c>
      <c r="H334" t="s">
        <v>1028</v>
      </c>
      <c r="I334" t="s">
        <v>1029</v>
      </c>
    </row>
    <row r="335" spans="1:9" x14ac:dyDescent="0.2">
      <c r="A335" t="str">
        <f>"88510662BA"</f>
        <v>88510662BA</v>
      </c>
      <c r="B335" t="s">
        <v>9</v>
      </c>
      <c r="C335" t="s">
        <v>1030</v>
      </c>
      <c r="D335" t="s">
        <v>11</v>
      </c>
      <c r="E335" t="s">
        <v>1031</v>
      </c>
      <c r="F335" t="s">
        <v>1031</v>
      </c>
      <c r="G335" t="s">
        <v>1032</v>
      </c>
      <c r="H335" t="s">
        <v>1033</v>
      </c>
      <c r="I335" t="s">
        <v>1032</v>
      </c>
    </row>
    <row r="336" spans="1:9" x14ac:dyDescent="0.2">
      <c r="A336" t="str">
        <f>"883375553C"</f>
        <v>883375553C</v>
      </c>
      <c r="B336" t="s">
        <v>9</v>
      </c>
      <c r="C336" t="s">
        <v>1034</v>
      </c>
      <c r="D336" t="s">
        <v>11</v>
      </c>
      <c r="E336" t="s">
        <v>1035</v>
      </c>
      <c r="F336" t="s">
        <v>1035</v>
      </c>
      <c r="G336" t="s">
        <v>1036</v>
      </c>
      <c r="H336" t="s">
        <v>1033</v>
      </c>
      <c r="I336" t="s">
        <v>1036</v>
      </c>
    </row>
    <row r="337" spans="1:9" x14ac:dyDescent="0.2">
      <c r="A337" t="str">
        <f>"8848984C98"</f>
        <v>8848984C98</v>
      </c>
      <c r="B337" t="s">
        <v>9</v>
      </c>
      <c r="C337" t="s">
        <v>1037</v>
      </c>
      <c r="D337" t="s">
        <v>11</v>
      </c>
      <c r="E337" t="s">
        <v>317</v>
      </c>
      <c r="F337" t="s">
        <v>317</v>
      </c>
      <c r="G337" t="s">
        <v>318</v>
      </c>
      <c r="H337" t="s">
        <v>1033</v>
      </c>
      <c r="I337" t="s">
        <v>318</v>
      </c>
    </row>
    <row r="338" spans="1:9" x14ac:dyDescent="0.2">
      <c r="A338" t="str">
        <f>"8817753FF4"</f>
        <v>8817753FF4</v>
      </c>
      <c r="B338" t="s">
        <v>9</v>
      </c>
      <c r="C338" t="s">
        <v>1038</v>
      </c>
      <c r="D338" t="s">
        <v>11</v>
      </c>
      <c r="E338" t="s">
        <v>910</v>
      </c>
      <c r="F338" t="s">
        <v>910</v>
      </c>
      <c r="G338" t="s">
        <v>1039</v>
      </c>
      <c r="H338" t="s">
        <v>1040</v>
      </c>
      <c r="I338" t="s">
        <v>1039</v>
      </c>
    </row>
    <row r="339" spans="1:9" x14ac:dyDescent="0.2">
      <c r="A339" t="str">
        <f>"88284760DF"</f>
        <v>88284760DF</v>
      </c>
      <c r="B339" t="s">
        <v>9</v>
      </c>
      <c r="C339" t="s">
        <v>1041</v>
      </c>
      <c r="D339" t="s">
        <v>11</v>
      </c>
      <c r="E339" t="s">
        <v>1042</v>
      </c>
      <c r="F339" t="s">
        <v>1042</v>
      </c>
      <c r="G339" t="s">
        <v>1043</v>
      </c>
      <c r="H339" t="s">
        <v>1044</v>
      </c>
      <c r="I339" t="s">
        <v>1043</v>
      </c>
    </row>
    <row r="340" spans="1:9" x14ac:dyDescent="0.2">
      <c r="A340" t="str">
        <f>"8820424C23"</f>
        <v>8820424C23</v>
      </c>
      <c r="B340" t="s">
        <v>9</v>
      </c>
      <c r="C340" t="s">
        <v>1045</v>
      </c>
      <c r="D340" t="s">
        <v>11</v>
      </c>
      <c r="E340" t="s">
        <v>52</v>
      </c>
      <c r="F340" t="s">
        <v>52</v>
      </c>
      <c r="G340" t="s">
        <v>1046</v>
      </c>
      <c r="H340" t="s">
        <v>1040</v>
      </c>
      <c r="I340" t="s">
        <v>1046</v>
      </c>
    </row>
    <row r="341" spans="1:9" x14ac:dyDescent="0.2">
      <c r="A341" t="str">
        <f>"8817147BDF"</f>
        <v>8817147BDF</v>
      </c>
      <c r="B341" t="s">
        <v>9</v>
      </c>
      <c r="C341" t="s">
        <v>1047</v>
      </c>
      <c r="D341" t="s">
        <v>11</v>
      </c>
      <c r="E341" t="s">
        <v>334</v>
      </c>
      <c r="F341" t="s">
        <v>334</v>
      </c>
      <c r="G341" t="s">
        <v>1048</v>
      </c>
      <c r="H341" t="s">
        <v>1049</v>
      </c>
      <c r="I341" t="s">
        <v>1048</v>
      </c>
    </row>
    <row r="342" spans="1:9" x14ac:dyDescent="0.2">
      <c r="A342" t="str">
        <f>"8828702B5C"</f>
        <v>8828702B5C</v>
      </c>
      <c r="B342" t="s">
        <v>9</v>
      </c>
      <c r="C342" t="s">
        <v>1050</v>
      </c>
      <c r="D342" t="s">
        <v>11</v>
      </c>
      <c r="E342" t="s">
        <v>1051</v>
      </c>
      <c r="F342" t="s">
        <v>1051</v>
      </c>
      <c r="G342" t="s">
        <v>1052</v>
      </c>
      <c r="H342" t="s">
        <v>1053</v>
      </c>
      <c r="I342" t="s">
        <v>1052</v>
      </c>
    </row>
    <row r="343" spans="1:9" x14ac:dyDescent="0.2">
      <c r="A343" t="str">
        <f>"8819702854"</f>
        <v>8819702854</v>
      </c>
      <c r="B343" t="s">
        <v>9</v>
      </c>
      <c r="C343" t="s">
        <v>1054</v>
      </c>
      <c r="D343" t="s">
        <v>11</v>
      </c>
      <c r="E343" t="s">
        <v>1055</v>
      </c>
      <c r="F343" t="s">
        <v>1055</v>
      </c>
      <c r="G343" t="s">
        <v>1056</v>
      </c>
      <c r="H343" t="s">
        <v>1057</v>
      </c>
      <c r="I343" t="s">
        <v>1056</v>
      </c>
    </row>
    <row r="344" spans="1:9" x14ac:dyDescent="0.2">
      <c r="A344" t="str">
        <f>"8819696362"</f>
        <v>8819696362</v>
      </c>
      <c r="B344" t="s">
        <v>9</v>
      </c>
      <c r="C344" t="s">
        <v>1058</v>
      </c>
      <c r="D344" t="s">
        <v>11</v>
      </c>
      <c r="E344" t="s">
        <v>239</v>
      </c>
      <c r="F344" t="s">
        <v>239</v>
      </c>
      <c r="G344" t="s">
        <v>1059</v>
      </c>
      <c r="H344" t="s">
        <v>1060</v>
      </c>
      <c r="I344" t="s">
        <v>1061</v>
      </c>
    </row>
    <row r="345" spans="1:9" x14ac:dyDescent="0.2">
      <c r="A345" t="str">
        <f>"881923354D"</f>
        <v>881923354D</v>
      </c>
      <c r="B345" t="s">
        <v>9</v>
      </c>
      <c r="C345" t="s">
        <v>1062</v>
      </c>
      <c r="D345" t="s">
        <v>11</v>
      </c>
      <c r="E345" t="s">
        <v>1063</v>
      </c>
      <c r="F345" t="s">
        <v>1063</v>
      </c>
      <c r="G345" t="s">
        <v>1064</v>
      </c>
      <c r="H345" t="s">
        <v>1065</v>
      </c>
      <c r="I345" t="s">
        <v>1064</v>
      </c>
    </row>
    <row r="346" spans="1:9" x14ac:dyDescent="0.2">
      <c r="A346" t="str">
        <f>"8828406719"</f>
        <v>8828406719</v>
      </c>
      <c r="B346" t="s">
        <v>9</v>
      </c>
      <c r="C346" t="s">
        <v>1066</v>
      </c>
      <c r="D346" t="s">
        <v>11</v>
      </c>
      <c r="E346" t="s">
        <v>1067</v>
      </c>
      <c r="F346" t="s">
        <v>1067</v>
      </c>
      <c r="G346" t="s">
        <v>1068</v>
      </c>
      <c r="H346" t="s">
        <v>1069</v>
      </c>
      <c r="I346" t="s">
        <v>1068</v>
      </c>
    </row>
    <row r="347" spans="1:9" x14ac:dyDescent="0.2">
      <c r="A347" t="str">
        <f>"8765555CCE"</f>
        <v>8765555CCE</v>
      </c>
      <c r="B347" t="s">
        <v>9</v>
      </c>
      <c r="C347" t="s">
        <v>1070</v>
      </c>
      <c r="D347" t="s">
        <v>11</v>
      </c>
      <c r="E347" t="s">
        <v>1071</v>
      </c>
      <c r="F347" t="s">
        <v>1071</v>
      </c>
      <c r="G347" t="s">
        <v>1072</v>
      </c>
      <c r="H347" t="s">
        <v>1073</v>
      </c>
      <c r="I347" t="s">
        <v>323</v>
      </c>
    </row>
    <row r="348" spans="1:9" x14ac:dyDescent="0.2">
      <c r="A348" t="str">
        <f>"8758298825"</f>
        <v>8758298825</v>
      </c>
      <c r="B348" t="s">
        <v>9</v>
      </c>
      <c r="C348" t="s">
        <v>1074</v>
      </c>
      <c r="D348" t="s">
        <v>11</v>
      </c>
      <c r="E348" t="s">
        <v>1075</v>
      </c>
      <c r="F348" t="s">
        <v>1075</v>
      </c>
      <c r="G348" t="s">
        <v>1076</v>
      </c>
      <c r="H348" t="s">
        <v>1077</v>
      </c>
      <c r="I348" t="s">
        <v>1078</v>
      </c>
    </row>
    <row r="349" spans="1:9" x14ac:dyDescent="0.2">
      <c r="A349" t="str">
        <f>"88115007D3"</f>
        <v>88115007D3</v>
      </c>
      <c r="B349" t="s">
        <v>9</v>
      </c>
      <c r="C349" t="s">
        <v>1079</v>
      </c>
      <c r="D349" t="s">
        <v>11</v>
      </c>
      <c r="E349" t="s">
        <v>1080</v>
      </c>
      <c r="F349" t="s">
        <v>1080</v>
      </c>
      <c r="G349" t="s">
        <v>1081</v>
      </c>
      <c r="H349" t="s">
        <v>1082</v>
      </c>
      <c r="I349" t="s">
        <v>1081</v>
      </c>
    </row>
    <row r="350" spans="1:9" x14ac:dyDescent="0.2">
      <c r="A350" t="str">
        <f>"88511296B6"</f>
        <v>88511296B6</v>
      </c>
      <c r="B350" t="s">
        <v>9</v>
      </c>
      <c r="C350" t="s">
        <v>1083</v>
      </c>
      <c r="D350" t="s">
        <v>11</v>
      </c>
      <c r="E350" t="s">
        <v>1084</v>
      </c>
      <c r="F350" t="s">
        <v>1084</v>
      </c>
      <c r="G350" t="s">
        <v>1085</v>
      </c>
      <c r="H350" t="s">
        <v>1086</v>
      </c>
      <c r="I350" t="s">
        <v>1085</v>
      </c>
    </row>
    <row r="351" spans="1:9" x14ac:dyDescent="0.2">
      <c r="A351" t="str">
        <f>"88326537D5"</f>
        <v>88326537D5</v>
      </c>
      <c r="B351" t="s">
        <v>9</v>
      </c>
      <c r="C351" t="s">
        <v>1087</v>
      </c>
      <c r="D351" t="s">
        <v>11</v>
      </c>
      <c r="E351" t="s">
        <v>1088</v>
      </c>
      <c r="F351" t="s">
        <v>1088</v>
      </c>
      <c r="G351" t="s">
        <v>1089</v>
      </c>
      <c r="H351" t="s">
        <v>1090</v>
      </c>
      <c r="I351" t="s">
        <v>1089</v>
      </c>
    </row>
    <row r="352" spans="1:9" x14ac:dyDescent="0.2">
      <c r="A352" t="str">
        <f>"8800088E56"</f>
        <v>8800088E56</v>
      </c>
      <c r="B352" t="s">
        <v>9</v>
      </c>
      <c r="C352" t="s">
        <v>1091</v>
      </c>
      <c r="D352" t="s">
        <v>11</v>
      </c>
      <c r="E352" t="s">
        <v>697</v>
      </c>
      <c r="F352" t="s">
        <v>697</v>
      </c>
      <c r="G352" t="s">
        <v>1092</v>
      </c>
      <c r="H352" t="s">
        <v>1093</v>
      </c>
      <c r="I352" t="s">
        <v>1092</v>
      </c>
    </row>
    <row r="353" spans="1:9" x14ac:dyDescent="0.2">
      <c r="A353" t="str">
        <f>"86745007D9"</f>
        <v>86745007D9</v>
      </c>
      <c r="B353" t="s">
        <v>9</v>
      </c>
      <c r="C353" t="s">
        <v>1094</v>
      </c>
      <c r="D353" t="s">
        <v>11</v>
      </c>
      <c r="E353" t="s">
        <v>1095</v>
      </c>
      <c r="F353" t="s">
        <v>1095</v>
      </c>
      <c r="G353" t="s">
        <v>1096</v>
      </c>
      <c r="H353" t="s">
        <v>1097</v>
      </c>
      <c r="I353" t="s">
        <v>1096</v>
      </c>
    </row>
    <row r="354" spans="1:9" x14ac:dyDescent="0.2">
      <c r="A354" t="str">
        <f>"8693023D81"</f>
        <v>8693023D81</v>
      </c>
      <c r="B354" t="s">
        <v>9</v>
      </c>
      <c r="C354" t="s">
        <v>1098</v>
      </c>
      <c r="D354" t="s">
        <v>11</v>
      </c>
      <c r="E354" t="s">
        <v>1099</v>
      </c>
      <c r="F354" t="s">
        <v>1099</v>
      </c>
      <c r="G354" t="s">
        <v>1100</v>
      </c>
      <c r="H354" t="s">
        <v>1101</v>
      </c>
      <c r="I354" t="s">
        <v>1100</v>
      </c>
    </row>
    <row r="355" spans="1:9" x14ac:dyDescent="0.2">
      <c r="A355" t="str">
        <f>"8810887DF4"</f>
        <v>8810887DF4</v>
      </c>
      <c r="B355" t="s">
        <v>9</v>
      </c>
      <c r="C355" t="s">
        <v>1102</v>
      </c>
      <c r="D355" t="s">
        <v>11</v>
      </c>
      <c r="E355" t="s">
        <v>1103</v>
      </c>
      <c r="F355" t="s">
        <v>1103</v>
      </c>
      <c r="G355" t="s">
        <v>1104</v>
      </c>
      <c r="H355" t="s">
        <v>1105</v>
      </c>
      <c r="I355" t="s">
        <v>1104</v>
      </c>
    </row>
    <row r="356" spans="1:9" x14ac:dyDescent="0.2">
      <c r="A356" t="str">
        <f>"8812835581"</f>
        <v>8812835581</v>
      </c>
      <c r="B356" t="s">
        <v>9</v>
      </c>
      <c r="C356" t="s">
        <v>1106</v>
      </c>
      <c r="D356" t="s">
        <v>11</v>
      </c>
      <c r="E356" t="s">
        <v>1107</v>
      </c>
      <c r="F356" t="s">
        <v>1107</v>
      </c>
      <c r="G356" t="s">
        <v>1108</v>
      </c>
      <c r="H356" t="s">
        <v>1105</v>
      </c>
      <c r="I356" t="s">
        <v>1108</v>
      </c>
    </row>
    <row r="357" spans="1:9" x14ac:dyDescent="0.2">
      <c r="A357" t="str">
        <f>"8811059BE5"</f>
        <v>8811059BE5</v>
      </c>
      <c r="B357" t="s">
        <v>9</v>
      </c>
      <c r="C357" t="s">
        <v>1109</v>
      </c>
      <c r="D357" t="s">
        <v>11</v>
      </c>
      <c r="E357" t="s">
        <v>328</v>
      </c>
      <c r="F357" t="s">
        <v>328</v>
      </c>
      <c r="G357" t="s">
        <v>1110</v>
      </c>
      <c r="H357" t="s">
        <v>1105</v>
      </c>
      <c r="I357" t="s">
        <v>1110</v>
      </c>
    </row>
    <row r="358" spans="1:9" x14ac:dyDescent="0.2">
      <c r="A358" t="str">
        <f>"88131601B5"</f>
        <v>88131601B5</v>
      </c>
      <c r="B358" t="s">
        <v>9</v>
      </c>
      <c r="C358" t="s">
        <v>1111</v>
      </c>
      <c r="D358" t="s">
        <v>11</v>
      </c>
      <c r="E358" t="s">
        <v>195</v>
      </c>
      <c r="F358" t="s">
        <v>195</v>
      </c>
      <c r="G358" t="s">
        <v>1112</v>
      </c>
      <c r="H358" t="s">
        <v>1113</v>
      </c>
      <c r="I358" t="s">
        <v>1112</v>
      </c>
    </row>
    <row r="359" spans="1:9" x14ac:dyDescent="0.2">
      <c r="A359" t="str">
        <f>"8804798D27"</f>
        <v>8804798D27</v>
      </c>
      <c r="B359" t="s">
        <v>9</v>
      </c>
      <c r="C359" t="s">
        <v>1114</v>
      </c>
      <c r="D359" t="s">
        <v>11</v>
      </c>
      <c r="E359" t="s">
        <v>1115</v>
      </c>
      <c r="F359" t="s">
        <v>1115</v>
      </c>
      <c r="G359" t="s">
        <v>1116</v>
      </c>
      <c r="H359" t="s">
        <v>1117</v>
      </c>
    </row>
    <row r="360" spans="1:9" x14ac:dyDescent="0.2">
      <c r="A360" t="str">
        <f>"8807315A40"</f>
        <v>8807315A40</v>
      </c>
      <c r="B360" t="s">
        <v>9</v>
      </c>
      <c r="C360" t="s">
        <v>1118</v>
      </c>
      <c r="D360" t="s">
        <v>11</v>
      </c>
      <c r="E360" t="s">
        <v>1119</v>
      </c>
      <c r="F360" t="s">
        <v>1119</v>
      </c>
      <c r="G360" t="s">
        <v>1120</v>
      </c>
      <c r="H360" t="s">
        <v>1121</v>
      </c>
      <c r="I360" t="s">
        <v>1120</v>
      </c>
    </row>
    <row r="361" spans="1:9" x14ac:dyDescent="0.2">
      <c r="A361" t="str">
        <f>"88117305A1"</f>
        <v>88117305A1</v>
      </c>
      <c r="B361" t="s">
        <v>9</v>
      </c>
      <c r="C361" t="s">
        <v>1122</v>
      </c>
      <c r="D361" t="s">
        <v>11</v>
      </c>
      <c r="E361" t="s">
        <v>334</v>
      </c>
      <c r="F361" t="s">
        <v>334</v>
      </c>
      <c r="G361" t="s">
        <v>1123</v>
      </c>
      <c r="H361" t="s">
        <v>1124</v>
      </c>
      <c r="I361" t="s">
        <v>323</v>
      </c>
    </row>
    <row r="362" spans="1:9" x14ac:dyDescent="0.2">
      <c r="A362" t="str">
        <f>"8803371391"</f>
        <v>8803371391</v>
      </c>
      <c r="B362" t="s">
        <v>9</v>
      </c>
      <c r="C362" t="s">
        <v>1125</v>
      </c>
      <c r="D362" t="s">
        <v>11</v>
      </c>
      <c r="E362" t="s">
        <v>610</v>
      </c>
      <c r="F362" t="s">
        <v>610</v>
      </c>
      <c r="G362" t="s">
        <v>1126</v>
      </c>
      <c r="H362" t="s">
        <v>1127</v>
      </c>
      <c r="I362" t="s">
        <v>1126</v>
      </c>
    </row>
    <row r="363" spans="1:9" x14ac:dyDescent="0.2">
      <c r="A363" t="str">
        <f>"8802601823"</f>
        <v>8802601823</v>
      </c>
      <c r="B363" t="s">
        <v>9</v>
      </c>
      <c r="C363" t="s">
        <v>1128</v>
      </c>
      <c r="D363" t="s">
        <v>37</v>
      </c>
      <c r="E363" t="s">
        <v>232</v>
      </c>
      <c r="F363" t="s">
        <v>232</v>
      </c>
      <c r="G363" t="s">
        <v>1129</v>
      </c>
      <c r="H363" t="s">
        <v>1130</v>
      </c>
      <c r="I363" t="s">
        <v>1129</v>
      </c>
    </row>
    <row r="364" spans="1:9" x14ac:dyDescent="0.2">
      <c r="A364" t="str">
        <f>"879499751F"</f>
        <v>879499751F</v>
      </c>
      <c r="B364" t="s">
        <v>9</v>
      </c>
      <c r="C364" t="s">
        <v>1131</v>
      </c>
      <c r="D364" t="s">
        <v>11</v>
      </c>
      <c r="E364" t="s">
        <v>1132</v>
      </c>
      <c r="F364" t="s">
        <v>1132</v>
      </c>
      <c r="G364" t="s">
        <v>1133</v>
      </c>
      <c r="H364" t="s">
        <v>1130</v>
      </c>
      <c r="I364" t="s">
        <v>1134</v>
      </c>
    </row>
    <row r="365" spans="1:9" x14ac:dyDescent="0.2">
      <c r="A365" t="str">
        <f>"88074666DD"</f>
        <v>88074666DD</v>
      </c>
      <c r="B365" t="s">
        <v>9</v>
      </c>
      <c r="C365" t="s">
        <v>1135</v>
      </c>
      <c r="D365" t="s">
        <v>11</v>
      </c>
      <c r="E365" t="s">
        <v>1136</v>
      </c>
      <c r="F365" t="s">
        <v>1136</v>
      </c>
      <c r="G365" t="s">
        <v>1137</v>
      </c>
      <c r="H365" t="s">
        <v>1138</v>
      </c>
      <c r="I365" t="s">
        <v>1137</v>
      </c>
    </row>
    <row r="366" spans="1:9" x14ac:dyDescent="0.2">
      <c r="A366" t="str">
        <f>"8807181BAB"</f>
        <v>8807181BAB</v>
      </c>
      <c r="B366" t="s">
        <v>9</v>
      </c>
      <c r="C366" t="s">
        <v>1139</v>
      </c>
      <c r="D366" t="s">
        <v>11</v>
      </c>
      <c r="E366" t="s">
        <v>1035</v>
      </c>
      <c r="F366" t="s">
        <v>1035</v>
      </c>
      <c r="G366" t="s">
        <v>1140</v>
      </c>
      <c r="H366" t="s">
        <v>1141</v>
      </c>
      <c r="I366" t="s">
        <v>1140</v>
      </c>
    </row>
    <row r="367" spans="1:9" x14ac:dyDescent="0.2">
      <c r="A367" t="str">
        <f>"8811122FE1"</f>
        <v>8811122FE1</v>
      </c>
      <c r="B367" t="s">
        <v>9</v>
      </c>
      <c r="C367" t="s">
        <v>1142</v>
      </c>
      <c r="D367" t="s">
        <v>11</v>
      </c>
      <c r="E367" t="s">
        <v>1143</v>
      </c>
      <c r="F367" t="s">
        <v>1143</v>
      </c>
      <c r="G367" t="s">
        <v>1144</v>
      </c>
      <c r="H367" t="s">
        <v>1145</v>
      </c>
      <c r="I367" t="s">
        <v>1144</v>
      </c>
    </row>
    <row r="368" spans="1:9" x14ac:dyDescent="0.2">
      <c r="A368" t="str">
        <f>"8786981E19"</f>
        <v>8786981E19</v>
      </c>
      <c r="B368" t="s">
        <v>9</v>
      </c>
      <c r="C368" t="s">
        <v>1146</v>
      </c>
      <c r="D368" t="s">
        <v>11</v>
      </c>
      <c r="E368" t="s">
        <v>1147</v>
      </c>
      <c r="F368" t="s">
        <v>1147</v>
      </c>
      <c r="G368" t="s">
        <v>492</v>
      </c>
      <c r="H368" t="s">
        <v>1148</v>
      </c>
    </row>
    <row r="369" spans="1:9" x14ac:dyDescent="0.2">
      <c r="A369" t="str">
        <f>"878723715F"</f>
        <v>878723715F</v>
      </c>
      <c r="B369" t="s">
        <v>9</v>
      </c>
      <c r="C369" t="s">
        <v>1149</v>
      </c>
      <c r="D369" t="s">
        <v>11</v>
      </c>
      <c r="E369" t="s">
        <v>313</v>
      </c>
      <c r="F369" t="s">
        <v>313</v>
      </c>
      <c r="G369" t="s">
        <v>1150</v>
      </c>
      <c r="H369" t="s">
        <v>1148</v>
      </c>
      <c r="I369" t="s">
        <v>1150</v>
      </c>
    </row>
    <row r="370" spans="1:9" x14ac:dyDescent="0.2">
      <c r="A370" t="str">
        <f>"880770299D"</f>
        <v>880770299D</v>
      </c>
      <c r="B370" t="s">
        <v>9</v>
      </c>
      <c r="C370" t="s">
        <v>1151</v>
      </c>
      <c r="D370" t="s">
        <v>11</v>
      </c>
      <c r="E370" t="s">
        <v>602</v>
      </c>
      <c r="F370" t="s">
        <v>602</v>
      </c>
      <c r="G370" t="s">
        <v>1152</v>
      </c>
      <c r="H370" t="s">
        <v>1153</v>
      </c>
      <c r="I370" t="s">
        <v>1152</v>
      </c>
    </row>
    <row r="371" spans="1:9" x14ac:dyDescent="0.2">
      <c r="A371" t="str">
        <f>"88075181C8"</f>
        <v>88075181C8</v>
      </c>
      <c r="B371" t="s">
        <v>9</v>
      </c>
      <c r="C371" t="s">
        <v>1154</v>
      </c>
      <c r="D371" t="s">
        <v>11</v>
      </c>
      <c r="E371" t="s">
        <v>937</v>
      </c>
      <c r="F371" t="s">
        <v>937</v>
      </c>
      <c r="G371" t="s">
        <v>1155</v>
      </c>
      <c r="H371" t="s">
        <v>1156</v>
      </c>
      <c r="I371" t="s">
        <v>323</v>
      </c>
    </row>
    <row r="372" spans="1:9" x14ac:dyDescent="0.2">
      <c r="A372" t="str">
        <f>"880779458A"</f>
        <v>880779458A</v>
      </c>
      <c r="B372" t="s">
        <v>9</v>
      </c>
      <c r="C372" t="s">
        <v>1157</v>
      </c>
      <c r="D372" t="s">
        <v>11</v>
      </c>
      <c r="E372" t="s">
        <v>910</v>
      </c>
      <c r="F372" t="s">
        <v>910</v>
      </c>
      <c r="G372" t="s">
        <v>607</v>
      </c>
      <c r="H372" t="s">
        <v>1158</v>
      </c>
      <c r="I372" t="s">
        <v>607</v>
      </c>
    </row>
    <row r="373" spans="1:9" x14ac:dyDescent="0.2">
      <c r="A373" t="str">
        <f>"8803206B65"</f>
        <v>8803206B65</v>
      </c>
      <c r="B373" t="s">
        <v>9</v>
      </c>
      <c r="C373" t="s">
        <v>1159</v>
      </c>
      <c r="D373" t="s">
        <v>11</v>
      </c>
      <c r="E373" t="s">
        <v>107</v>
      </c>
      <c r="F373" t="s">
        <v>107</v>
      </c>
      <c r="G373" t="s">
        <v>1160</v>
      </c>
      <c r="H373" t="s">
        <v>1161</v>
      </c>
      <c r="I373" t="s">
        <v>1160</v>
      </c>
    </row>
    <row r="374" spans="1:9" x14ac:dyDescent="0.2">
      <c r="A374" t="str">
        <f>"8807555051"</f>
        <v>8807555051</v>
      </c>
      <c r="B374" t="s">
        <v>9</v>
      </c>
      <c r="C374" t="s">
        <v>1162</v>
      </c>
      <c r="D374" t="s">
        <v>11</v>
      </c>
      <c r="E374" t="s">
        <v>86</v>
      </c>
      <c r="F374" t="s">
        <v>86</v>
      </c>
      <c r="G374" t="s">
        <v>1163</v>
      </c>
      <c r="H374" t="s">
        <v>1164</v>
      </c>
      <c r="I374" t="s">
        <v>1163</v>
      </c>
    </row>
    <row r="375" spans="1:9" x14ac:dyDescent="0.2">
      <c r="A375" t="str">
        <f>"88176678FE"</f>
        <v>88176678FE</v>
      </c>
      <c r="B375" t="s">
        <v>9</v>
      </c>
      <c r="C375" t="s">
        <v>1165</v>
      </c>
      <c r="D375" t="s">
        <v>11</v>
      </c>
      <c r="E375" t="s">
        <v>46</v>
      </c>
      <c r="F375" t="s">
        <v>46</v>
      </c>
      <c r="G375" t="s">
        <v>1166</v>
      </c>
      <c r="H375" t="s">
        <v>1167</v>
      </c>
      <c r="I375" t="s">
        <v>1166</v>
      </c>
    </row>
    <row r="376" spans="1:9" x14ac:dyDescent="0.2">
      <c r="A376" t="str">
        <f>"8781315A5F"</f>
        <v>8781315A5F</v>
      </c>
      <c r="B376" t="s">
        <v>9</v>
      </c>
      <c r="C376" t="s">
        <v>1168</v>
      </c>
      <c r="D376" t="s">
        <v>11</v>
      </c>
      <c r="E376" t="s">
        <v>1169</v>
      </c>
      <c r="F376" t="s">
        <v>1169</v>
      </c>
      <c r="G376" t="s">
        <v>102</v>
      </c>
      <c r="H376" t="s">
        <v>1170</v>
      </c>
      <c r="I376" t="s">
        <v>102</v>
      </c>
    </row>
    <row r="377" spans="1:9" x14ac:dyDescent="0.2">
      <c r="A377" t="str">
        <f>"879068813A"</f>
        <v>879068813A</v>
      </c>
      <c r="B377" t="s">
        <v>9</v>
      </c>
      <c r="C377" t="s">
        <v>1171</v>
      </c>
      <c r="D377" t="s">
        <v>11</v>
      </c>
      <c r="E377" t="s">
        <v>1172</v>
      </c>
      <c r="F377" t="s">
        <v>1172</v>
      </c>
      <c r="G377" t="s">
        <v>1173</v>
      </c>
      <c r="H377" t="s">
        <v>1174</v>
      </c>
    </row>
    <row r="378" spans="1:9" x14ac:dyDescent="0.2">
      <c r="A378" t="str">
        <f>"8748038554"</f>
        <v>8748038554</v>
      </c>
      <c r="B378" t="s">
        <v>9</v>
      </c>
      <c r="C378" t="s">
        <v>1175</v>
      </c>
      <c r="D378" t="s">
        <v>11</v>
      </c>
      <c r="E378" t="s">
        <v>1176</v>
      </c>
      <c r="F378" t="s">
        <v>1176</v>
      </c>
      <c r="G378" t="s">
        <v>1177</v>
      </c>
      <c r="H378" t="s">
        <v>1178</v>
      </c>
    </row>
    <row r="379" spans="1:9" x14ac:dyDescent="0.2">
      <c r="A379" t="str">
        <f>"8786813379"</f>
        <v>8786813379</v>
      </c>
      <c r="B379" t="s">
        <v>9</v>
      </c>
      <c r="C379" t="s">
        <v>1179</v>
      </c>
      <c r="D379" t="s">
        <v>11</v>
      </c>
      <c r="E379" t="s">
        <v>1180</v>
      </c>
      <c r="F379" t="s">
        <v>1180</v>
      </c>
      <c r="G379" t="s">
        <v>1181</v>
      </c>
      <c r="H379" t="s">
        <v>1182</v>
      </c>
    </row>
    <row r="380" spans="1:9" x14ac:dyDescent="0.2">
      <c r="A380" t="str">
        <f>"87950343A8"</f>
        <v>87950343A8</v>
      </c>
      <c r="B380" t="s">
        <v>9</v>
      </c>
      <c r="C380" t="s">
        <v>1183</v>
      </c>
      <c r="D380" t="s">
        <v>11</v>
      </c>
      <c r="E380" t="s">
        <v>334</v>
      </c>
      <c r="F380" t="s">
        <v>334</v>
      </c>
      <c r="G380" t="s">
        <v>1184</v>
      </c>
      <c r="H380" t="s">
        <v>1185</v>
      </c>
      <c r="I380" t="s">
        <v>1184</v>
      </c>
    </row>
    <row r="381" spans="1:9" x14ac:dyDescent="0.2">
      <c r="A381" t="str">
        <f>"8794468095"</f>
        <v>8794468095</v>
      </c>
      <c r="B381" t="s">
        <v>9</v>
      </c>
      <c r="C381" t="s">
        <v>1186</v>
      </c>
      <c r="D381" t="s">
        <v>11</v>
      </c>
      <c r="E381" t="s">
        <v>1187</v>
      </c>
      <c r="F381" t="s">
        <v>1187</v>
      </c>
      <c r="G381" t="s">
        <v>1188</v>
      </c>
      <c r="H381" t="s">
        <v>1189</v>
      </c>
      <c r="I381" t="s">
        <v>1188</v>
      </c>
    </row>
    <row r="382" spans="1:9" x14ac:dyDescent="0.2">
      <c r="A382" t="str">
        <f>"8794447F3C"</f>
        <v>8794447F3C</v>
      </c>
      <c r="B382" t="s">
        <v>9</v>
      </c>
      <c r="C382" t="s">
        <v>1186</v>
      </c>
      <c r="D382" t="s">
        <v>11</v>
      </c>
      <c r="E382" t="s">
        <v>1187</v>
      </c>
      <c r="F382" t="s">
        <v>1187</v>
      </c>
      <c r="G382" t="s">
        <v>1190</v>
      </c>
      <c r="H382" t="s">
        <v>1189</v>
      </c>
      <c r="I382" t="s">
        <v>1190</v>
      </c>
    </row>
    <row r="383" spans="1:9" x14ac:dyDescent="0.2">
      <c r="A383" t="str">
        <f>"8789497A5F"</f>
        <v>8789497A5F</v>
      </c>
      <c r="B383" t="s">
        <v>9</v>
      </c>
      <c r="C383" t="s">
        <v>944</v>
      </c>
      <c r="D383" t="s">
        <v>37</v>
      </c>
      <c r="E383" t="s">
        <v>41</v>
      </c>
      <c r="F383" t="s">
        <v>41</v>
      </c>
      <c r="G383" t="s">
        <v>1191</v>
      </c>
      <c r="H383" t="s">
        <v>1192</v>
      </c>
      <c r="I383" t="s">
        <v>1191</v>
      </c>
    </row>
    <row r="384" spans="1:9" x14ac:dyDescent="0.2">
      <c r="A384" t="str">
        <f>"8793383136"</f>
        <v>8793383136</v>
      </c>
      <c r="B384" t="s">
        <v>9</v>
      </c>
      <c r="C384" t="s">
        <v>1193</v>
      </c>
      <c r="D384" t="s">
        <v>11</v>
      </c>
      <c r="E384" t="s">
        <v>334</v>
      </c>
      <c r="F384" t="s">
        <v>334</v>
      </c>
      <c r="G384" t="s">
        <v>1194</v>
      </c>
      <c r="H384" t="s">
        <v>1195</v>
      </c>
      <c r="I384" t="s">
        <v>1194</v>
      </c>
    </row>
    <row r="385" spans="1:9" x14ac:dyDescent="0.2">
      <c r="A385" t="str">
        <f>"879344438C"</f>
        <v>879344438C</v>
      </c>
      <c r="B385" t="s">
        <v>9</v>
      </c>
      <c r="C385" t="s">
        <v>1196</v>
      </c>
      <c r="D385" t="s">
        <v>11</v>
      </c>
      <c r="E385" t="s">
        <v>1197</v>
      </c>
      <c r="F385" t="s">
        <v>1197</v>
      </c>
      <c r="G385" t="s">
        <v>1198</v>
      </c>
      <c r="H385" t="s">
        <v>1199</v>
      </c>
      <c r="I385" t="s">
        <v>1198</v>
      </c>
    </row>
    <row r="386" spans="1:9" x14ac:dyDescent="0.2">
      <c r="A386" t="str">
        <f>"8789540DDA"</f>
        <v>8789540DDA</v>
      </c>
      <c r="B386" t="s">
        <v>9</v>
      </c>
      <c r="C386" t="s">
        <v>1200</v>
      </c>
      <c r="D386" t="s">
        <v>11</v>
      </c>
      <c r="E386" t="s">
        <v>602</v>
      </c>
      <c r="F386" t="s">
        <v>602</v>
      </c>
      <c r="G386" t="s">
        <v>1201</v>
      </c>
      <c r="H386" t="s">
        <v>1202</v>
      </c>
      <c r="I386" t="s">
        <v>1203</v>
      </c>
    </row>
    <row r="387" spans="1:9" x14ac:dyDescent="0.2">
      <c r="A387" t="str">
        <f>"87875378EE"</f>
        <v>87875378EE</v>
      </c>
      <c r="B387" t="s">
        <v>9</v>
      </c>
      <c r="C387" t="s">
        <v>1204</v>
      </c>
      <c r="D387" t="s">
        <v>11</v>
      </c>
      <c r="E387" t="s">
        <v>86</v>
      </c>
      <c r="F387" t="s">
        <v>86</v>
      </c>
      <c r="G387" t="s">
        <v>1205</v>
      </c>
      <c r="H387" t="s">
        <v>1206</v>
      </c>
      <c r="I387" t="s">
        <v>1205</v>
      </c>
    </row>
    <row r="388" spans="1:9" x14ac:dyDescent="0.2">
      <c r="A388" t="str">
        <f>"8733198EF6"</f>
        <v>8733198EF6</v>
      </c>
      <c r="B388" t="s">
        <v>9</v>
      </c>
      <c r="C388" t="s">
        <v>1207</v>
      </c>
      <c r="D388" t="s">
        <v>11</v>
      </c>
      <c r="E388" t="s">
        <v>1208</v>
      </c>
      <c r="F388" t="s">
        <v>1208</v>
      </c>
      <c r="G388" t="s">
        <v>1209</v>
      </c>
      <c r="H388" t="s">
        <v>1210</v>
      </c>
      <c r="I388" t="s">
        <v>323</v>
      </c>
    </row>
    <row r="389" spans="1:9" x14ac:dyDescent="0.2">
      <c r="A389" t="str">
        <f>"878517079F"</f>
        <v>878517079F</v>
      </c>
      <c r="B389" t="s">
        <v>9</v>
      </c>
      <c r="C389" t="s">
        <v>1211</v>
      </c>
      <c r="D389" t="s">
        <v>11</v>
      </c>
      <c r="E389" t="s">
        <v>1212</v>
      </c>
      <c r="F389" t="s">
        <v>1212</v>
      </c>
      <c r="G389" t="s">
        <v>1213</v>
      </c>
      <c r="H389" t="s">
        <v>1214</v>
      </c>
      <c r="I389" t="s">
        <v>1213</v>
      </c>
    </row>
    <row r="390" spans="1:9" x14ac:dyDescent="0.2">
      <c r="A390" t="str">
        <f>"878543959C"</f>
        <v>878543959C</v>
      </c>
      <c r="B390" t="s">
        <v>9</v>
      </c>
      <c r="C390" t="s">
        <v>1215</v>
      </c>
      <c r="D390" t="s">
        <v>11</v>
      </c>
      <c r="E390" t="s">
        <v>1216</v>
      </c>
      <c r="F390" t="s">
        <v>1216</v>
      </c>
      <c r="G390" t="s">
        <v>1217</v>
      </c>
      <c r="H390" t="s">
        <v>1218</v>
      </c>
      <c r="I390" t="s">
        <v>1217</v>
      </c>
    </row>
    <row r="391" spans="1:9" x14ac:dyDescent="0.2">
      <c r="A391" t="str">
        <f>"8783020962"</f>
        <v>8783020962</v>
      </c>
      <c r="B391" t="s">
        <v>9</v>
      </c>
      <c r="C391" t="s">
        <v>1219</v>
      </c>
      <c r="D391" t="s">
        <v>37</v>
      </c>
      <c r="E391" t="s">
        <v>1026</v>
      </c>
      <c r="F391" t="s">
        <v>1026</v>
      </c>
      <c r="G391" t="s">
        <v>1220</v>
      </c>
      <c r="H391" t="s">
        <v>1221</v>
      </c>
      <c r="I391" t="s">
        <v>323</v>
      </c>
    </row>
    <row r="392" spans="1:9" x14ac:dyDescent="0.2">
      <c r="A392" t="str">
        <f>"87846667B5"</f>
        <v>87846667B5</v>
      </c>
      <c r="B392" t="s">
        <v>9</v>
      </c>
      <c r="C392" t="s">
        <v>1222</v>
      </c>
      <c r="D392" t="s">
        <v>11</v>
      </c>
      <c r="E392" t="s">
        <v>1223</v>
      </c>
      <c r="F392" t="s">
        <v>1223</v>
      </c>
      <c r="G392" t="s">
        <v>1224</v>
      </c>
      <c r="H392" t="s">
        <v>1218</v>
      </c>
      <c r="I392" t="s">
        <v>1224</v>
      </c>
    </row>
    <row r="393" spans="1:9" x14ac:dyDescent="0.2">
      <c r="A393" t="str">
        <f>"8769049029"</f>
        <v>8769049029</v>
      </c>
      <c r="B393" t="s">
        <v>9</v>
      </c>
      <c r="C393" t="s">
        <v>1225</v>
      </c>
      <c r="D393" t="s">
        <v>11</v>
      </c>
      <c r="E393" t="s">
        <v>1226</v>
      </c>
      <c r="F393" t="s">
        <v>1226</v>
      </c>
      <c r="G393" t="s">
        <v>426</v>
      </c>
      <c r="H393" t="s">
        <v>1227</v>
      </c>
      <c r="I393" t="s">
        <v>426</v>
      </c>
    </row>
    <row r="394" spans="1:9" x14ac:dyDescent="0.2">
      <c r="A394" t="str">
        <f>"8784146A96"</f>
        <v>8784146A96</v>
      </c>
      <c r="B394" t="s">
        <v>9</v>
      </c>
      <c r="C394" t="s">
        <v>1228</v>
      </c>
      <c r="D394" t="s">
        <v>11</v>
      </c>
      <c r="E394" t="s">
        <v>550</v>
      </c>
      <c r="F394" t="s">
        <v>550</v>
      </c>
      <c r="G394" t="s">
        <v>795</v>
      </c>
      <c r="H394" t="s">
        <v>1229</v>
      </c>
      <c r="I394" t="s">
        <v>795</v>
      </c>
    </row>
    <row r="395" spans="1:9" x14ac:dyDescent="0.2">
      <c r="A395" t="str">
        <f>"8784418B0C"</f>
        <v>8784418B0C</v>
      </c>
      <c r="B395" t="s">
        <v>9</v>
      </c>
      <c r="C395" t="s">
        <v>1230</v>
      </c>
      <c r="D395" t="s">
        <v>11</v>
      </c>
      <c r="E395" t="s">
        <v>1143</v>
      </c>
      <c r="F395" t="s">
        <v>1143</v>
      </c>
      <c r="G395" t="s">
        <v>1231</v>
      </c>
      <c r="H395" t="s">
        <v>1232</v>
      </c>
      <c r="I395" t="s">
        <v>1231</v>
      </c>
    </row>
    <row r="396" spans="1:9" x14ac:dyDescent="0.2">
      <c r="A396" t="str">
        <f>"87827266C5"</f>
        <v>87827266C5</v>
      </c>
      <c r="B396" t="s">
        <v>9</v>
      </c>
      <c r="C396" t="s">
        <v>1233</v>
      </c>
      <c r="D396" t="s">
        <v>11</v>
      </c>
      <c r="E396" t="s">
        <v>602</v>
      </c>
      <c r="F396" t="s">
        <v>602</v>
      </c>
      <c r="G396" t="s">
        <v>1234</v>
      </c>
      <c r="H396" t="s">
        <v>1235</v>
      </c>
      <c r="I396" t="s">
        <v>1234</v>
      </c>
    </row>
    <row r="397" spans="1:9" x14ac:dyDescent="0.2">
      <c r="A397" t="str">
        <f>"8784049A8A"</f>
        <v>8784049A8A</v>
      </c>
      <c r="B397" t="s">
        <v>9</v>
      </c>
      <c r="C397" t="s">
        <v>1236</v>
      </c>
      <c r="D397" t="s">
        <v>11</v>
      </c>
      <c r="E397" t="s">
        <v>337</v>
      </c>
      <c r="F397" t="s">
        <v>337</v>
      </c>
      <c r="G397" t="s">
        <v>1237</v>
      </c>
      <c r="H397" t="s">
        <v>1235</v>
      </c>
      <c r="I397" t="s">
        <v>1238</v>
      </c>
    </row>
    <row r="398" spans="1:9" x14ac:dyDescent="0.2">
      <c r="A398" t="str">
        <f>"880506055F"</f>
        <v>880506055F</v>
      </c>
      <c r="B398" t="s">
        <v>9</v>
      </c>
      <c r="C398" t="s">
        <v>1239</v>
      </c>
      <c r="D398" t="s">
        <v>11</v>
      </c>
      <c r="E398" t="s">
        <v>1240</v>
      </c>
      <c r="F398" t="s">
        <v>1240</v>
      </c>
      <c r="G398" t="s">
        <v>1241</v>
      </c>
      <c r="H398" t="s">
        <v>1242</v>
      </c>
      <c r="I398" t="s">
        <v>1241</v>
      </c>
    </row>
    <row r="399" spans="1:9" x14ac:dyDescent="0.2">
      <c r="A399" t="str">
        <f>"87817419EB"</f>
        <v>87817419EB</v>
      </c>
      <c r="B399" t="s">
        <v>9</v>
      </c>
      <c r="C399" t="s">
        <v>1243</v>
      </c>
      <c r="D399" t="s">
        <v>11</v>
      </c>
      <c r="E399" t="s">
        <v>340</v>
      </c>
      <c r="F399" t="s">
        <v>340</v>
      </c>
      <c r="G399" t="s">
        <v>1244</v>
      </c>
      <c r="H399" t="s">
        <v>1245</v>
      </c>
      <c r="I399" t="s">
        <v>1244</v>
      </c>
    </row>
    <row r="400" spans="1:9" x14ac:dyDescent="0.2">
      <c r="A400" t="str">
        <f>"8781694324"</f>
        <v>8781694324</v>
      </c>
      <c r="B400" t="s">
        <v>9</v>
      </c>
      <c r="C400" t="s">
        <v>1246</v>
      </c>
      <c r="D400" t="s">
        <v>11</v>
      </c>
      <c r="E400" t="s">
        <v>602</v>
      </c>
      <c r="F400" t="s">
        <v>602</v>
      </c>
      <c r="G400" t="s">
        <v>1247</v>
      </c>
      <c r="H400" t="s">
        <v>1248</v>
      </c>
      <c r="I400" t="s">
        <v>1247</v>
      </c>
    </row>
    <row r="401" spans="1:9" x14ac:dyDescent="0.2">
      <c r="A401" t="str">
        <f>"8781700816"</f>
        <v>8781700816</v>
      </c>
      <c r="B401" t="s">
        <v>9</v>
      </c>
      <c r="C401" t="s">
        <v>1249</v>
      </c>
      <c r="D401" t="s">
        <v>11</v>
      </c>
      <c r="E401" t="s">
        <v>334</v>
      </c>
      <c r="F401" t="s">
        <v>334</v>
      </c>
      <c r="G401" t="s">
        <v>1250</v>
      </c>
      <c r="H401" t="s">
        <v>1251</v>
      </c>
      <c r="I401" t="s">
        <v>1250</v>
      </c>
    </row>
    <row r="402" spans="1:9" x14ac:dyDescent="0.2">
      <c r="A402" t="str">
        <f>"8777750C70"</f>
        <v>8777750C70</v>
      </c>
      <c r="B402" t="s">
        <v>9</v>
      </c>
      <c r="C402" t="s">
        <v>1252</v>
      </c>
      <c r="D402" t="s">
        <v>11</v>
      </c>
      <c r="E402" t="s">
        <v>83</v>
      </c>
      <c r="F402" t="s">
        <v>83</v>
      </c>
      <c r="G402" t="s">
        <v>1253</v>
      </c>
      <c r="H402" t="s">
        <v>1254</v>
      </c>
      <c r="I402" t="s">
        <v>1253</v>
      </c>
    </row>
    <row r="403" spans="1:9" x14ac:dyDescent="0.2">
      <c r="A403" t="str">
        <f>"8777824982"</f>
        <v>8777824982</v>
      </c>
      <c r="B403" t="s">
        <v>9</v>
      </c>
      <c r="C403" t="s">
        <v>1255</v>
      </c>
      <c r="D403" t="s">
        <v>11</v>
      </c>
      <c r="E403" t="s">
        <v>328</v>
      </c>
      <c r="F403" t="s">
        <v>328</v>
      </c>
      <c r="G403" t="s">
        <v>102</v>
      </c>
      <c r="H403" t="s">
        <v>1254</v>
      </c>
      <c r="I403" t="s">
        <v>102</v>
      </c>
    </row>
    <row r="404" spans="1:9" x14ac:dyDescent="0.2">
      <c r="A404" t="str">
        <f>"868488844D"</f>
        <v>868488844D</v>
      </c>
      <c r="B404" t="s">
        <v>9</v>
      </c>
      <c r="C404" t="s">
        <v>1256</v>
      </c>
      <c r="D404" t="s">
        <v>11</v>
      </c>
      <c r="E404" t="s">
        <v>1035</v>
      </c>
      <c r="F404" t="s">
        <v>1035</v>
      </c>
      <c r="G404" t="s">
        <v>1257</v>
      </c>
      <c r="H404" t="s">
        <v>1258</v>
      </c>
      <c r="I404" t="s">
        <v>1257</v>
      </c>
    </row>
    <row r="405" spans="1:9" x14ac:dyDescent="0.2">
      <c r="A405" t="str">
        <f>"87570122E9"</f>
        <v>87570122E9</v>
      </c>
      <c r="B405" t="s">
        <v>9</v>
      </c>
      <c r="C405" t="s">
        <v>1259</v>
      </c>
      <c r="D405" t="s">
        <v>11</v>
      </c>
      <c r="E405" t="s">
        <v>406</v>
      </c>
      <c r="F405" t="s">
        <v>406</v>
      </c>
      <c r="G405" t="s">
        <v>1260</v>
      </c>
      <c r="H405" t="s">
        <v>1261</v>
      </c>
      <c r="I405" t="s">
        <v>1260</v>
      </c>
    </row>
    <row r="406" spans="1:9" x14ac:dyDescent="0.2">
      <c r="A406" t="str">
        <f>"8776630033"</f>
        <v>8776630033</v>
      </c>
      <c r="B406" t="s">
        <v>9</v>
      </c>
      <c r="C406" t="s">
        <v>1262</v>
      </c>
      <c r="D406" t="s">
        <v>11</v>
      </c>
      <c r="E406" t="s">
        <v>107</v>
      </c>
      <c r="F406" t="s">
        <v>107</v>
      </c>
      <c r="G406" t="s">
        <v>1263</v>
      </c>
      <c r="H406" t="s">
        <v>1264</v>
      </c>
      <c r="I406" t="s">
        <v>1265</v>
      </c>
    </row>
    <row r="407" spans="1:9" x14ac:dyDescent="0.2">
      <c r="A407" t="str">
        <f>"8776411B76"</f>
        <v>8776411B76</v>
      </c>
      <c r="B407" t="s">
        <v>9</v>
      </c>
      <c r="C407" t="s">
        <v>1266</v>
      </c>
      <c r="D407" t="s">
        <v>11</v>
      </c>
      <c r="E407" t="s">
        <v>550</v>
      </c>
      <c r="F407" t="s">
        <v>550</v>
      </c>
      <c r="G407" t="s">
        <v>551</v>
      </c>
      <c r="H407" t="s">
        <v>1267</v>
      </c>
      <c r="I407" t="s">
        <v>323</v>
      </c>
    </row>
    <row r="408" spans="1:9" x14ac:dyDescent="0.2">
      <c r="A408" t="str">
        <f>"8765533AA7"</f>
        <v>8765533AA7</v>
      </c>
      <c r="B408" t="s">
        <v>9</v>
      </c>
      <c r="C408" t="s">
        <v>1268</v>
      </c>
      <c r="D408" t="s">
        <v>37</v>
      </c>
      <c r="E408" t="s">
        <v>1269</v>
      </c>
      <c r="F408" t="s">
        <v>1269</v>
      </c>
      <c r="G408" t="s">
        <v>1270</v>
      </c>
      <c r="H408" t="s">
        <v>1271</v>
      </c>
      <c r="I408" t="s">
        <v>1272</v>
      </c>
    </row>
    <row r="409" spans="1:9" x14ac:dyDescent="0.2">
      <c r="A409" t="str">
        <f>"87603136FA"</f>
        <v>87603136FA</v>
      </c>
      <c r="B409" t="s">
        <v>9</v>
      </c>
      <c r="C409" t="s">
        <v>1273</v>
      </c>
      <c r="D409" t="s">
        <v>11</v>
      </c>
      <c r="E409" t="s">
        <v>610</v>
      </c>
      <c r="F409" t="s">
        <v>610</v>
      </c>
      <c r="G409" t="s">
        <v>1274</v>
      </c>
      <c r="H409" t="s">
        <v>1275</v>
      </c>
      <c r="I409" t="s">
        <v>1274</v>
      </c>
    </row>
    <row r="410" spans="1:9" x14ac:dyDescent="0.2">
      <c r="A410" t="str">
        <f>"8774144CAC"</f>
        <v>8774144CAC</v>
      </c>
      <c r="B410" t="s">
        <v>9</v>
      </c>
      <c r="C410" t="s">
        <v>1276</v>
      </c>
      <c r="D410" t="s">
        <v>11</v>
      </c>
      <c r="E410" t="s">
        <v>1277</v>
      </c>
      <c r="F410" t="s">
        <v>1277</v>
      </c>
      <c r="G410" t="s">
        <v>1278</v>
      </c>
      <c r="H410" t="s">
        <v>1279</v>
      </c>
      <c r="I410" t="s">
        <v>1278</v>
      </c>
    </row>
    <row r="411" spans="1:9" x14ac:dyDescent="0.2">
      <c r="A411" t="str">
        <f>"8773486DAC"</f>
        <v>8773486DAC</v>
      </c>
      <c r="B411" t="s">
        <v>9</v>
      </c>
      <c r="C411" t="s">
        <v>1280</v>
      </c>
      <c r="D411" t="s">
        <v>11</v>
      </c>
      <c r="E411" t="s">
        <v>161</v>
      </c>
      <c r="F411" t="s">
        <v>161</v>
      </c>
      <c r="G411" t="s">
        <v>23</v>
      </c>
      <c r="H411" t="s">
        <v>1281</v>
      </c>
      <c r="I411" t="s">
        <v>23</v>
      </c>
    </row>
    <row r="412" spans="1:9" x14ac:dyDescent="0.2">
      <c r="A412" t="str">
        <f>"8773449F23"</f>
        <v>8773449F23</v>
      </c>
      <c r="B412" t="s">
        <v>9</v>
      </c>
      <c r="C412" t="s">
        <v>1282</v>
      </c>
      <c r="D412" t="s">
        <v>11</v>
      </c>
      <c r="E412" t="s">
        <v>337</v>
      </c>
      <c r="F412" t="s">
        <v>337</v>
      </c>
      <c r="G412" t="s">
        <v>1283</v>
      </c>
      <c r="H412" t="s">
        <v>1284</v>
      </c>
      <c r="I412" t="s">
        <v>1283</v>
      </c>
    </row>
    <row r="413" spans="1:9" x14ac:dyDescent="0.2">
      <c r="A413" t="str">
        <f>"875453352C"</f>
        <v>875453352C</v>
      </c>
      <c r="B413" t="s">
        <v>9</v>
      </c>
      <c r="C413" t="s">
        <v>1285</v>
      </c>
      <c r="D413" t="s">
        <v>11</v>
      </c>
      <c r="E413" t="s">
        <v>1286</v>
      </c>
      <c r="F413" t="s">
        <v>1286</v>
      </c>
      <c r="G413" t="s">
        <v>721</v>
      </c>
      <c r="H413" t="s">
        <v>1287</v>
      </c>
      <c r="I413" t="s">
        <v>721</v>
      </c>
    </row>
    <row r="414" spans="1:9" x14ac:dyDescent="0.2">
      <c r="A414" t="str">
        <f>"8769372AB2"</f>
        <v>8769372AB2</v>
      </c>
      <c r="B414" t="s">
        <v>9</v>
      </c>
      <c r="C414" t="s">
        <v>1288</v>
      </c>
      <c r="D414" t="s">
        <v>11</v>
      </c>
      <c r="E414" t="s">
        <v>1289</v>
      </c>
      <c r="F414" t="s">
        <v>1289</v>
      </c>
      <c r="G414" t="s">
        <v>1290</v>
      </c>
      <c r="H414" t="s">
        <v>1291</v>
      </c>
      <c r="I414" t="s">
        <v>1290</v>
      </c>
    </row>
    <row r="415" spans="1:9" x14ac:dyDescent="0.2">
      <c r="A415" t="str">
        <f>"8768974244"</f>
        <v>8768974244</v>
      </c>
      <c r="B415" t="s">
        <v>9</v>
      </c>
      <c r="C415" t="s">
        <v>1292</v>
      </c>
      <c r="D415" t="s">
        <v>11</v>
      </c>
      <c r="E415" t="s">
        <v>697</v>
      </c>
      <c r="F415" t="s">
        <v>697</v>
      </c>
      <c r="G415" t="s">
        <v>1293</v>
      </c>
      <c r="H415" t="s">
        <v>1294</v>
      </c>
      <c r="I415" t="s">
        <v>1293</v>
      </c>
    </row>
    <row r="416" spans="1:9" x14ac:dyDescent="0.2">
      <c r="A416" t="str">
        <f>"8747546F4E"</f>
        <v>8747546F4E</v>
      </c>
      <c r="B416" t="s">
        <v>9</v>
      </c>
      <c r="C416" t="s">
        <v>1295</v>
      </c>
      <c r="D416" t="s">
        <v>11</v>
      </c>
      <c r="E416" t="s">
        <v>1289</v>
      </c>
      <c r="F416" t="s">
        <v>1289</v>
      </c>
      <c r="G416" t="s">
        <v>414</v>
      </c>
      <c r="H416" t="s">
        <v>1291</v>
      </c>
      <c r="I416" t="s">
        <v>414</v>
      </c>
    </row>
    <row r="417" spans="1:9" x14ac:dyDescent="0.2">
      <c r="A417" t="str">
        <f>"8765944DD1"</f>
        <v>8765944DD1</v>
      </c>
      <c r="B417" t="s">
        <v>9</v>
      </c>
      <c r="C417" t="s">
        <v>1296</v>
      </c>
      <c r="D417" t="s">
        <v>11</v>
      </c>
      <c r="E417" t="s">
        <v>1226</v>
      </c>
      <c r="F417" t="s">
        <v>1226</v>
      </c>
      <c r="G417" t="s">
        <v>1297</v>
      </c>
      <c r="H417" t="s">
        <v>1298</v>
      </c>
      <c r="I417" t="s">
        <v>1297</v>
      </c>
    </row>
    <row r="418" spans="1:9" x14ac:dyDescent="0.2">
      <c r="A418" t="str">
        <f>"8754776DB1"</f>
        <v>8754776DB1</v>
      </c>
      <c r="B418" t="s">
        <v>9</v>
      </c>
      <c r="C418" t="s">
        <v>1299</v>
      </c>
      <c r="D418" t="s">
        <v>11</v>
      </c>
      <c r="E418" t="s">
        <v>1300</v>
      </c>
      <c r="F418" t="s">
        <v>1300</v>
      </c>
      <c r="G418" t="s">
        <v>1301</v>
      </c>
      <c r="H418" t="s">
        <v>1302</v>
      </c>
      <c r="I418" t="s">
        <v>1301</v>
      </c>
    </row>
    <row r="419" spans="1:9" x14ac:dyDescent="0.2">
      <c r="A419" t="str">
        <f>"8757105FA4"</f>
        <v>8757105FA4</v>
      </c>
      <c r="B419" t="s">
        <v>9</v>
      </c>
      <c r="C419" t="s">
        <v>1303</v>
      </c>
      <c r="D419" t="s">
        <v>11</v>
      </c>
      <c r="E419" t="s">
        <v>602</v>
      </c>
      <c r="F419" t="s">
        <v>602</v>
      </c>
      <c r="G419" t="s">
        <v>1304</v>
      </c>
      <c r="H419" t="s">
        <v>1305</v>
      </c>
      <c r="I419" t="s">
        <v>1304</v>
      </c>
    </row>
    <row r="420" spans="1:9" x14ac:dyDescent="0.2">
      <c r="A420" t="str">
        <f>"875705780A"</f>
        <v>875705780A</v>
      </c>
      <c r="B420" t="s">
        <v>9</v>
      </c>
      <c r="C420" t="s">
        <v>1306</v>
      </c>
      <c r="D420" t="s">
        <v>11</v>
      </c>
      <c r="E420" t="s">
        <v>147</v>
      </c>
      <c r="F420" t="s">
        <v>147</v>
      </c>
      <c r="G420" t="s">
        <v>1307</v>
      </c>
      <c r="H420" t="s">
        <v>1308</v>
      </c>
      <c r="I420" t="s">
        <v>1307</v>
      </c>
    </row>
    <row r="421" spans="1:9" x14ac:dyDescent="0.2">
      <c r="A421" t="str">
        <f>"87649899BB"</f>
        <v>87649899BB</v>
      </c>
      <c r="B421" t="s">
        <v>9</v>
      </c>
      <c r="C421" t="s">
        <v>1309</v>
      </c>
      <c r="D421" t="s">
        <v>37</v>
      </c>
      <c r="E421" t="s">
        <v>232</v>
      </c>
      <c r="F421" t="s">
        <v>232</v>
      </c>
      <c r="G421" t="s">
        <v>1310</v>
      </c>
      <c r="H421" t="s">
        <v>1311</v>
      </c>
      <c r="I421" t="s">
        <v>1310</v>
      </c>
    </row>
    <row r="422" spans="1:9" x14ac:dyDescent="0.2">
      <c r="A422" t="str">
        <f>"8757084E50"</f>
        <v>8757084E50</v>
      </c>
      <c r="B422" t="s">
        <v>9</v>
      </c>
      <c r="C422" t="s">
        <v>1312</v>
      </c>
      <c r="D422" t="s">
        <v>11</v>
      </c>
      <c r="E422" t="s">
        <v>1313</v>
      </c>
      <c r="F422" t="s">
        <v>1313</v>
      </c>
      <c r="G422" t="s">
        <v>1314</v>
      </c>
      <c r="H422" t="s">
        <v>1315</v>
      </c>
    </row>
    <row r="423" spans="1:9" x14ac:dyDescent="0.2">
      <c r="A423" t="str">
        <f>"8762876A07"</f>
        <v>8762876A07</v>
      </c>
      <c r="B423" t="s">
        <v>9</v>
      </c>
      <c r="C423" t="s">
        <v>1316</v>
      </c>
      <c r="D423" t="s">
        <v>37</v>
      </c>
      <c r="E423" t="s">
        <v>41</v>
      </c>
      <c r="F423" t="s">
        <v>41</v>
      </c>
      <c r="G423" t="s">
        <v>1317</v>
      </c>
      <c r="H423" t="s">
        <v>1318</v>
      </c>
      <c r="I423" t="s">
        <v>1317</v>
      </c>
    </row>
    <row r="424" spans="1:9" x14ac:dyDescent="0.2">
      <c r="A424" t="str">
        <f>"8762935AB7"</f>
        <v>8762935AB7</v>
      </c>
      <c r="B424" t="s">
        <v>9</v>
      </c>
      <c r="C424" t="s">
        <v>1319</v>
      </c>
      <c r="D424" t="s">
        <v>11</v>
      </c>
      <c r="E424" t="s">
        <v>1320</v>
      </c>
      <c r="F424" t="s">
        <v>1320</v>
      </c>
      <c r="G424" t="s">
        <v>1321</v>
      </c>
      <c r="H424" t="s">
        <v>1318</v>
      </c>
      <c r="I424" t="s">
        <v>1321</v>
      </c>
    </row>
    <row r="425" spans="1:9" x14ac:dyDescent="0.2">
      <c r="A425" t="str">
        <f>"8747623ED9"</f>
        <v>8747623ED9</v>
      </c>
      <c r="B425" t="s">
        <v>9</v>
      </c>
      <c r="C425" t="s">
        <v>1322</v>
      </c>
      <c r="D425" t="s">
        <v>11</v>
      </c>
      <c r="E425" t="s">
        <v>1323</v>
      </c>
      <c r="F425" t="s">
        <v>1323</v>
      </c>
      <c r="G425" t="s">
        <v>1324</v>
      </c>
      <c r="H425" t="s">
        <v>1325</v>
      </c>
      <c r="I425" t="s">
        <v>1324</v>
      </c>
    </row>
    <row r="426" spans="1:9" x14ac:dyDescent="0.2">
      <c r="A426" t="str">
        <f>"87472624F4"</f>
        <v>87472624F4</v>
      </c>
      <c r="B426" t="s">
        <v>9</v>
      </c>
      <c r="C426" t="s">
        <v>1326</v>
      </c>
      <c r="D426" t="s">
        <v>11</v>
      </c>
      <c r="E426" t="s">
        <v>1327</v>
      </c>
      <c r="F426" t="s">
        <v>1327</v>
      </c>
      <c r="G426" t="s">
        <v>1112</v>
      </c>
      <c r="H426" t="s">
        <v>1328</v>
      </c>
      <c r="I426" t="s">
        <v>1112</v>
      </c>
    </row>
    <row r="427" spans="1:9" x14ac:dyDescent="0.2">
      <c r="A427" t="str">
        <f>"8755783CB2"</f>
        <v>8755783CB2</v>
      </c>
      <c r="B427" t="s">
        <v>9</v>
      </c>
      <c r="C427" t="s">
        <v>1329</v>
      </c>
      <c r="D427" t="s">
        <v>11</v>
      </c>
      <c r="E427" t="s">
        <v>907</v>
      </c>
      <c r="F427" t="s">
        <v>907</v>
      </c>
      <c r="G427" t="s">
        <v>1330</v>
      </c>
      <c r="H427" t="s">
        <v>1331</v>
      </c>
      <c r="I427" t="s">
        <v>1330</v>
      </c>
    </row>
    <row r="428" spans="1:9" x14ac:dyDescent="0.2">
      <c r="A428" t="str">
        <f>"8747207790"</f>
        <v>8747207790</v>
      </c>
      <c r="B428" t="s">
        <v>9</v>
      </c>
      <c r="C428" t="s">
        <v>1332</v>
      </c>
      <c r="D428" t="s">
        <v>11</v>
      </c>
      <c r="E428" t="s">
        <v>1333</v>
      </c>
      <c r="F428" t="s">
        <v>1333</v>
      </c>
      <c r="G428" t="s">
        <v>991</v>
      </c>
      <c r="H428" t="s">
        <v>1328</v>
      </c>
      <c r="I428" t="s">
        <v>991</v>
      </c>
    </row>
    <row r="429" spans="1:9" x14ac:dyDescent="0.2">
      <c r="A429" t="str">
        <f>"8756936431"</f>
        <v>8756936431</v>
      </c>
      <c r="B429" t="s">
        <v>9</v>
      </c>
      <c r="C429" t="s">
        <v>1334</v>
      </c>
      <c r="D429" t="s">
        <v>11</v>
      </c>
      <c r="E429" t="s">
        <v>1335</v>
      </c>
      <c r="F429" t="s">
        <v>1335</v>
      </c>
      <c r="G429" t="s">
        <v>1336</v>
      </c>
      <c r="H429" t="s">
        <v>1328</v>
      </c>
      <c r="I429" t="s">
        <v>1336</v>
      </c>
    </row>
    <row r="430" spans="1:9" x14ac:dyDescent="0.2">
      <c r="A430" t="str">
        <f>"8751991373"</f>
        <v>8751991373</v>
      </c>
      <c r="B430" t="s">
        <v>9</v>
      </c>
      <c r="C430" t="s">
        <v>1337</v>
      </c>
      <c r="D430" t="s">
        <v>37</v>
      </c>
      <c r="E430" t="s">
        <v>41</v>
      </c>
      <c r="F430" t="s">
        <v>41</v>
      </c>
      <c r="G430" t="s">
        <v>1338</v>
      </c>
      <c r="H430" t="s">
        <v>1339</v>
      </c>
      <c r="I430" t="s">
        <v>1340</v>
      </c>
    </row>
    <row r="431" spans="1:9" x14ac:dyDescent="0.2">
      <c r="A431" t="str">
        <f>"8753885E6A"</f>
        <v>8753885E6A</v>
      </c>
      <c r="B431" t="s">
        <v>9</v>
      </c>
      <c r="C431" t="s">
        <v>1341</v>
      </c>
      <c r="D431" t="s">
        <v>11</v>
      </c>
      <c r="E431" t="s">
        <v>425</v>
      </c>
      <c r="F431" t="s">
        <v>425</v>
      </c>
      <c r="G431" t="s">
        <v>671</v>
      </c>
      <c r="H431" t="s">
        <v>1342</v>
      </c>
      <c r="I431" t="s">
        <v>671</v>
      </c>
    </row>
    <row r="432" spans="1:9" x14ac:dyDescent="0.2">
      <c r="A432" t="str">
        <f>"8755958D1C"</f>
        <v>8755958D1C</v>
      </c>
      <c r="B432" t="s">
        <v>9</v>
      </c>
      <c r="C432" t="s">
        <v>1343</v>
      </c>
      <c r="D432" t="s">
        <v>11</v>
      </c>
      <c r="E432" t="s">
        <v>1344</v>
      </c>
      <c r="F432" t="s">
        <v>1344</v>
      </c>
      <c r="G432" t="s">
        <v>1345</v>
      </c>
      <c r="H432" t="s">
        <v>1346</v>
      </c>
      <c r="I432" t="s">
        <v>1345</v>
      </c>
    </row>
    <row r="433" spans="1:9" x14ac:dyDescent="0.2">
      <c r="A433" t="str">
        <f>"8751325DD6"</f>
        <v>8751325DD6</v>
      </c>
      <c r="B433" t="s">
        <v>9</v>
      </c>
      <c r="C433" t="s">
        <v>1347</v>
      </c>
      <c r="D433" t="s">
        <v>11</v>
      </c>
      <c r="E433" t="s">
        <v>83</v>
      </c>
      <c r="F433" t="s">
        <v>83</v>
      </c>
      <c r="G433" t="s">
        <v>1348</v>
      </c>
      <c r="H433" t="s">
        <v>1349</v>
      </c>
      <c r="I433" t="s">
        <v>1348</v>
      </c>
    </row>
    <row r="434" spans="1:9" x14ac:dyDescent="0.2">
      <c r="A434" t="str">
        <f>"8747636995"</f>
        <v>8747636995</v>
      </c>
      <c r="B434" t="s">
        <v>9</v>
      </c>
      <c r="C434" t="s">
        <v>1350</v>
      </c>
      <c r="D434" t="s">
        <v>11</v>
      </c>
      <c r="E434" t="s">
        <v>1351</v>
      </c>
      <c r="F434" t="s">
        <v>1351</v>
      </c>
      <c r="G434" t="s">
        <v>1352</v>
      </c>
      <c r="H434" t="s">
        <v>1353</v>
      </c>
      <c r="I434" t="s">
        <v>1352</v>
      </c>
    </row>
    <row r="435" spans="1:9" x14ac:dyDescent="0.2">
      <c r="A435" t="str">
        <f>"8746738489"</f>
        <v>8746738489</v>
      </c>
      <c r="B435" t="s">
        <v>9</v>
      </c>
      <c r="C435" t="s">
        <v>1354</v>
      </c>
      <c r="D435" t="s">
        <v>11</v>
      </c>
      <c r="E435" t="s">
        <v>107</v>
      </c>
      <c r="F435" t="s">
        <v>107</v>
      </c>
      <c r="G435" t="s">
        <v>1355</v>
      </c>
      <c r="H435" t="s">
        <v>1356</v>
      </c>
      <c r="I435" t="s">
        <v>1355</v>
      </c>
    </row>
    <row r="436" spans="1:9" x14ac:dyDescent="0.2">
      <c r="A436" t="str">
        <f>"8749522DF4"</f>
        <v>8749522DF4</v>
      </c>
      <c r="B436" t="s">
        <v>9</v>
      </c>
      <c r="C436" t="s">
        <v>1357</v>
      </c>
      <c r="D436" t="s">
        <v>11</v>
      </c>
      <c r="E436" t="s">
        <v>1358</v>
      </c>
      <c r="F436" t="s">
        <v>1358</v>
      </c>
      <c r="G436" t="s">
        <v>1155</v>
      </c>
      <c r="H436" t="s">
        <v>1359</v>
      </c>
      <c r="I436" t="s">
        <v>1155</v>
      </c>
    </row>
    <row r="437" spans="1:9" x14ac:dyDescent="0.2">
      <c r="A437" t="str">
        <f>"8747671678"</f>
        <v>8747671678</v>
      </c>
      <c r="B437" t="s">
        <v>9</v>
      </c>
      <c r="C437" t="s">
        <v>1360</v>
      </c>
      <c r="D437" t="s">
        <v>11</v>
      </c>
      <c r="E437" t="s">
        <v>1361</v>
      </c>
      <c r="F437" t="s">
        <v>1361</v>
      </c>
      <c r="G437" t="s">
        <v>373</v>
      </c>
      <c r="H437" t="s">
        <v>1362</v>
      </c>
      <c r="I437" t="s">
        <v>1363</v>
      </c>
    </row>
    <row r="438" spans="1:9" x14ac:dyDescent="0.2">
      <c r="A438" t="str">
        <f>"87472223F2"</f>
        <v>87472223F2</v>
      </c>
      <c r="B438" t="s">
        <v>9</v>
      </c>
      <c r="C438" t="s">
        <v>1364</v>
      </c>
      <c r="D438" t="s">
        <v>11</v>
      </c>
      <c r="E438" t="s">
        <v>472</v>
      </c>
      <c r="F438" t="s">
        <v>472</v>
      </c>
      <c r="G438" t="s">
        <v>1365</v>
      </c>
      <c r="H438" t="s">
        <v>1356</v>
      </c>
      <c r="I438" t="s">
        <v>323</v>
      </c>
    </row>
    <row r="439" spans="1:9" x14ac:dyDescent="0.2">
      <c r="A439" t="str">
        <f>"875229919F"</f>
        <v>875229919F</v>
      </c>
      <c r="B439" t="s">
        <v>9</v>
      </c>
      <c r="C439" t="s">
        <v>1366</v>
      </c>
      <c r="D439" t="s">
        <v>11</v>
      </c>
      <c r="E439" t="s">
        <v>1367</v>
      </c>
      <c r="F439" t="s">
        <v>1367</v>
      </c>
      <c r="G439" t="s">
        <v>1368</v>
      </c>
      <c r="H439" t="s">
        <v>1349</v>
      </c>
      <c r="I439" t="s">
        <v>1368</v>
      </c>
    </row>
    <row r="440" spans="1:9" x14ac:dyDescent="0.2">
      <c r="A440" t="str">
        <f>"8747813BA5"</f>
        <v>8747813BA5</v>
      </c>
      <c r="B440" t="s">
        <v>9</v>
      </c>
      <c r="C440" t="s">
        <v>1369</v>
      </c>
      <c r="D440" t="s">
        <v>11</v>
      </c>
      <c r="E440" t="s">
        <v>1370</v>
      </c>
      <c r="F440" t="s">
        <v>1370</v>
      </c>
      <c r="G440" t="s">
        <v>1371</v>
      </c>
      <c r="H440" t="s">
        <v>1372</v>
      </c>
    </row>
    <row r="441" spans="1:9" x14ac:dyDescent="0.2">
      <c r="A441" t="str">
        <f>"87471486E0"</f>
        <v>87471486E0</v>
      </c>
      <c r="B441" t="s">
        <v>9</v>
      </c>
      <c r="C441" t="s">
        <v>1373</v>
      </c>
      <c r="D441" t="s">
        <v>11</v>
      </c>
      <c r="E441" t="s">
        <v>270</v>
      </c>
      <c r="F441" t="s">
        <v>270</v>
      </c>
      <c r="G441" t="s">
        <v>433</v>
      </c>
      <c r="H441" t="s">
        <v>1374</v>
      </c>
      <c r="I441" t="s">
        <v>433</v>
      </c>
    </row>
    <row r="442" spans="1:9" x14ac:dyDescent="0.2">
      <c r="A442" t="str">
        <f>"8752182112"</f>
        <v>8752182112</v>
      </c>
      <c r="B442" t="s">
        <v>9</v>
      </c>
      <c r="C442" t="s">
        <v>1375</v>
      </c>
      <c r="D442" t="s">
        <v>11</v>
      </c>
      <c r="E442" t="s">
        <v>83</v>
      </c>
      <c r="F442" t="s">
        <v>83</v>
      </c>
      <c r="G442" t="s">
        <v>1376</v>
      </c>
      <c r="H442" t="s">
        <v>1377</v>
      </c>
      <c r="I442" t="s">
        <v>1376</v>
      </c>
    </row>
    <row r="443" spans="1:9" x14ac:dyDescent="0.2">
      <c r="A443" t="str">
        <f>"8752221141"</f>
        <v>8752221141</v>
      </c>
      <c r="B443" t="s">
        <v>9</v>
      </c>
      <c r="C443" t="s">
        <v>1378</v>
      </c>
      <c r="D443" t="s">
        <v>37</v>
      </c>
      <c r="E443" t="s">
        <v>41</v>
      </c>
      <c r="F443" t="s">
        <v>41</v>
      </c>
      <c r="G443" t="s">
        <v>1379</v>
      </c>
      <c r="H443" t="s">
        <v>1380</v>
      </c>
      <c r="I443" t="s">
        <v>1379</v>
      </c>
    </row>
    <row r="444" spans="1:9" x14ac:dyDescent="0.2">
      <c r="A444" t="str">
        <f>"8747025161"</f>
        <v>8747025161</v>
      </c>
      <c r="B444" t="s">
        <v>9</v>
      </c>
      <c r="C444" t="s">
        <v>1381</v>
      </c>
      <c r="D444" t="s">
        <v>11</v>
      </c>
      <c r="E444" t="s">
        <v>191</v>
      </c>
      <c r="F444" t="s">
        <v>191</v>
      </c>
      <c r="G444" t="s">
        <v>1382</v>
      </c>
      <c r="H444" t="s">
        <v>1383</v>
      </c>
      <c r="I444" t="s">
        <v>1382</v>
      </c>
    </row>
    <row r="445" spans="1:9" x14ac:dyDescent="0.2">
      <c r="A445" t="str">
        <f>"8752200FE8"</f>
        <v>8752200FE8</v>
      </c>
      <c r="B445" t="s">
        <v>9</v>
      </c>
      <c r="C445" t="s">
        <v>1384</v>
      </c>
      <c r="D445" t="s">
        <v>11</v>
      </c>
      <c r="E445" t="s">
        <v>83</v>
      </c>
      <c r="F445" t="s">
        <v>83</v>
      </c>
      <c r="G445" t="s">
        <v>1385</v>
      </c>
      <c r="H445" t="s">
        <v>1386</v>
      </c>
      <c r="I445" t="s">
        <v>1385</v>
      </c>
    </row>
    <row r="446" spans="1:9" x14ac:dyDescent="0.2">
      <c r="A446" t="str">
        <f>"8752157C6D"</f>
        <v>8752157C6D</v>
      </c>
      <c r="B446" t="s">
        <v>9</v>
      </c>
      <c r="C446" t="s">
        <v>1387</v>
      </c>
      <c r="D446" t="s">
        <v>11</v>
      </c>
      <c r="E446" t="s">
        <v>328</v>
      </c>
      <c r="F446" t="s">
        <v>328</v>
      </c>
      <c r="G446" t="s">
        <v>1388</v>
      </c>
      <c r="H446" t="s">
        <v>1389</v>
      </c>
      <c r="I446" t="s">
        <v>1388</v>
      </c>
    </row>
    <row r="447" spans="1:9" x14ac:dyDescent="0.2">
      <c r="A447" t="str">
        <f>"8752005EFD"</f>
        <v>8752005EFD</v>
      </c>
      <c r="B447" t="s">
        <v>9</v>
      </c>
      <c r="C447" t="s">
        <v>1390</v>
      </c>
      <c r="D447" t="s">
        <v>11</v>
      </c>
      <c r="E447" t="s">
        <v>610</v>
      </c>
      <c r="F447" t="s">
        <v>610</v>
      </c>
      <c r="G447" t="s">
        <v>1391</v>
      </c>
      <c r="H447" t="s">
        <v>1389</v>
      </c>
      <c r="I447" t="s">
        <v>1391</v>
      </c>
    </row>
    <row r="448" spans="1:9" x14ac:dyDescent="0.2">
      <c r="A448" t="str">
        <f>"8739969295"</f>
        <v>8739969295</v>
      </c>
      <c r="B448" t="s">
        <v>9</v>
      </c>
      <c r="C448" t="s">
        <v>1392</v>
      </c>
      <c r="D448" t="s">
        <v>11</v>
      </c>
      <c r="E448" t="s">
        <v>1393</v>
      </c>
      <c r="F448" t="s">
        <v>1393</v>
      </c>
      <c r="G448" t="s">
        <v>1394</v>
      </c>
      <c r="H448" t="s">
        <v>1395</v>
      </c>
    </row>
    <row r="449" spans="1:9" x14ac:dyDescent="0.2">
      <c r="A449" t="str">
        <f>"8680236559"</f>
        <v>8680236559</v>
      </c>
      <c r="B449" t="s">
        <v>9</v>
      </c>
      <c r="C449" t="s">
        <v>1396</v>
      </c>
      <c r="D449" t="s">
        <v>11</v>
      </c>
      <c r="E449" t="s">
        <v>1397</v>
      </c>
      <c r="F449" t="s">
        <v>1397</v>
      </c>
      <c r="G449" t="s">
        <v>1398</v>
      </c>
      <c r="H449" t="s">
        <v>1399</v>
      </c>
      <c r="I449" t="s">
        <v>1398</v>
      </c>
    </row>
    <row r="450" spans="1:9" x14ac:dyDescent="0.2">
      <c r="A450" t="str">
        <f>"8693322442"</f>
        <v>8693322442</v>
      </c>
      <c r="B450" t="s">
        <v>9</v>
      </c>
      <c r="C450" t="s">
        <v>1400</v>
      </c>
      <c r="D450" t="s">
        <v>11</v>
      </c>
      <c r="E450" t="s">
        <v>357</v>
      </c>
      <c r="F450" t="s">
        <v>357</v>
      </c>
      <c r="G450" t="s">
        <v>1401</v>
      </c>
      <c r="H450" t="s">
        <v>1402</v>
      </c>
      <c r="I450" t="s">
        <v>1401</v>
      </c>
    </row>
    <row r="451" spans="1:9" x14ac:dyDescent="0.2">
      <c r="A451" t="str">
        <f>"87325990AB"</f>
        <v>87325990AB</v>
      </c>
      <c r="B451" t="s">
        <v>9</v>
      </c>
      <c r="C451" t="s">
        <v>1403</v>
      </c>
      <c r="D451" t="s">
        <v>11</v>
      </c>
      <c r="E451" t="s">
        <v>550</v>
      </c>
      <c r="F451" t="s">
        <v>550</v>
      </c>
      <c r="G451" t="s">
        <v>1404</v>
      </c>
      <c r="H451" t="s">
        <v>1405</v>
      </c>
      <c r="I451" t="s">
        <v>1404</v>
      </c>
    </row>
    <row r="452" spans="1:9" x14ac:dyDescent="0.2">
      <c r="A452" t="str">
        <f>"8685463ECB"</f>
        <v>8685463ECB</v>
      </c>
      <c r="B452" t="s">
        <v>9</v>
      </c>
      <c r="C452" t="s">
        <v>1406</v>
      </c>
      <c r="D452" t="s">
        <v>11</v>
      </c>
      <c r="E452" t="s">
        <v>337</v>
      </c>
      <c r="F452" t="s">
        <v>337</v>
      </c>
      <c r="G452" t="s">
        <v>1407</v>
      </c>
      <c r="H452" t="s">
        <v>1408</v>
      </c>
      <c r="I452" t="s">
        <v>1407</v>
      </c>
    </row>
    <row r="453" spans="1:9" x14ac:dyDescent="0.2">
      <c r="A453" t="str">
        <f>"8693064F56"</f>
        <v>8693064F56</v>
      </c>
      <c r="B453" t="s">
        <v>9</v>
      </c>
      <c r="C453" t="s">
        <v>1409</v>
      </c>
      <c r="D453" t="s">
        <v>11</v>
      </c>
      <c r="E453" t="s">
        <v>602</v>
      </c>
      <c r="F453" t="s">
        <v>602</v>
      </c>
      <c r="G453" t="s">
        <v>880</v>
      </c>
      <c r="H453" t="s">
        <v>1402</v>
      </c>
      <c r="I453" t="s">
        <v>880</v>
      </c>
    </row>
    <row r="454" spans="1:9" x14ac:dyDescent="0.2">
      <c r="A454" t="str">
        <f>"8693039AB6"</f>
        <v>8693039AB6</v>
      </c>
      <c r="B454" t="s">
        <v>9</v>
      </c>
      <c r="C454" t="s">
        <v>1410</v>
      </c>
      <c r="D454" t="s">
        <v>11</v>
      </c>
      <c r="E454" t="s">
        <v>1411</v>
      </c>
      <c r="F454" t="s">
        <v>1411</v>
      </c>
      <c r="G454" t="s">
        <v>1412</v>
      </c>
      <c r="H454" t="s">
        <v>1413</v>
      </c>
      <c r="I454" t="s">
        <v>1412</v>
      </c>
    </row>
    <row r="455" spans="1:9" x14ac:dyDescent="0.2">
      <c r="A455" t="str">
        <f>"8693344669"</f>
        <v>8693344669</v>
      </c>
      <c r="B455" t="s">
        <v>9</v>
      </c>
      <c r="C455" t="s">
        <v>1414</v>
      </c>
      <c r="D455" t="s">
        <v>11</v>
      </c>
      <c r="E455" t="s">
        <v>626</v>
      </c>
      <c r="F455" t="s">
        <v>626</v>
      </c>
      <c r="G455" t="s">
        <v>1415</v>
      </c>
      <c r="H455" t="s">
        <v>1402</v>
      </c>
    </row>
    <row r="456" spans="1:9" x14ac:dyDescent="0.2">
      <c r="A456" t="str">
        <f>"8761888AB4"</f>
        <v>8761888AB4</v>
      </c>
      <c r="B456" t="s">
        <v>9</v>
      </c>
      <c r="C456" t="s">
        <v>1416</v>
      </c>
      <c r="D456" t="s">
        <v>11</v>
      </c>
      <c r="E456" t="s">
        <v>1417</v>
      </c>
      <c r="F456" t="s">
        <v>1417</v>
      </c>
      <c r="G456" t="s">
        <v>1418</v>
      </c>
      <c r="H456" t="s">
        <v>1419</v>
      </c>
      <c r="I456" t="s">
        <v>1418</v>
      </c>
    </row>
    <row r="457" spans="1:9" x14ac:dyDescent="0.2">
      <c r="A457" t="str">
        <f>"8730839444"</f>
        <v>8730839444</v>
      </c>
      <c r="B457" t="s">
        <v>9</v>
      </c>
      <c r="C457" t="s">
        <v>1420</v>
      </c>
      <c r="D457" t="s">
        <v>11</v>
      </c>
      <c r="E457" t="s">
        <v>1421</v>
      </c>
      <c r="F457" t="s">
        <v>1421</v>
      </c>
      <c r="G457" t="s">
        <v>1422</v>
      </c>
      <c r="H457" t="s">
        <v>1423</v>
      </c>
      <c r="I457" t="s">
        <v>1422</v>
      </c>
    </row>
    <row r="458" spans="1:9" x14ac:dyDescent="0.2">
      <c r="A458" t="str">
        <f>"873355773A"</f>
        <v>873355773A</v>
      </c>
      <c r="B458" t="s">
        <v>9</v>
      </c>
      <c r="C458" t="s">
        <v>1424</v>
      </c>
      <c r="D458" t="s">
        <v>11</v>
      </c>
      <c r="E458" t="s">
        <v>242</v>
      </c>
      <c r="F458" t="s">
        <v>242</v>
      </c>
      <c r="G458" t="s">
        <v>880</v>
      </c>
      <c r="H458" t="s">
        <v>1425</v>
      </c>
      <c r="I458" t="s">
        <v>880</v>
      </c>
    </row>
    <row r="459" spans="1:9" x14ac:dyDescent="0.2">
      <c r="A459" t="str">
        <f>"8733177DA2"</f>
        <v>8733177DA2</v>
      </c>
      <c r="B459" t="s">
        <v>9</v>
      </c>
      <c r="C459" t="s">
        <v>1426</v>
      </c>
      <c r="D459" t="s">
        <v>11</v>
      </c>
      <c r="E459" t="s">
        <v>83</v>
      </c>
      <c r="F459" t="s">
        <v>83</v>
      </c>
      <c r="G459" t="s">
        <v>1427</v>
      </c>
      <c r="H459" t="s">
        <v>1428</v>
      </c>
      <c r="I459" t="s">
        <v>1429</v>
      </c>
    </row>
    <row r="460" spans="1:9" x14ac:dyDescent="0.2">
      <c r="A460" t="str">
        <f>"8732589868"</f>
        <v>8732589868</v>
      </c>
      <c r="B460" t="s">
        <v>9</v>
      </c>
      <c r="C460" t="s">
        <v>1430</v>
      </c>
      <c r="D460" t="s">
        <v>11</v>
      </c>
      <c r="E460" t="s">
        <v>1431</v>
      </c>
      <c r="F460" t="s">
        <v>1431</v>
      </c>
      <c r="G460" t="s">
        <v>991</v>
      </c>
      <c r="H460" t="s">
        <v>1432</v>
      </c>
      <c r="I460" t="s">
        <v>991</v>
      </c>
    </row>
    <row r="461" spans="1:9" x14ac:dyDescent="0.2">
      <c r="A461" t="str">
        <f>"871952185A"</f>
        <v>871952185A</v>
      </c>
      <c r="B461" t="s">
        <v>9</v>
      </c>
      <c r="C461" t="s">
        <v>1433</v>
      </c>
      <c r="D461" t="s">
        <v>11</v>
      </c>
      <c r="E461" t="s">
        <v>1226</v>
      </c>
      <c r="F461" t="s">
        <v>1226</v>
      </c>
      <c r="G461" t="s">
        <v>1297</v>
      </c>
      <c r="H461" t="s">
        <v>1434</v>
      </c>
      <c r="I461" t="s">
        <v>1297</v>
      </c>
    </row>
    <row r="462" spans="1:9" x14ac:dyDescent="0.2">
      <c r="A462" t="str">
        <f>"8728830A61"</f>
        <v>8728830A61</v>
      </c>
      <c r="B462" t="s">
        <v>9</v>
      </c>
      <c r="C462" t="s">
        <v>1435</v>
      </c>
      <c r="D462" t="s">
        <v>11</v>
      </c>
      <c r="E462" t="s">
        <v>1436</v>
      </c>
      <c r="F462" t="s">
        <v>1436</v>
      </c>
      <c r="G462" t="s">
        <v>1437</v>
      </c>
      <c r="H462" t="s">
        <v>1438</v>
      </c>
      <c r="I462" t="s">
        <v>1437</v>
      </c>
    </row>
    <row r="463" spans="1:9" x14ac:dyDescent="0.2">
      <c r="A463" t="str">
        <f>"87308930D5"</f>
        <v>87308930D5</v>
      </c>
      <c r="B463" t="s">
        <v>9</v>
      </c>
      <c r="C463" t="s">
        <v>1439</v>
      </c>
      <c r="D463" t="s">
        <v>11</v>
      </c>
      <c r="E463" t="s">
        <v>1440</v>
      </c>
      <c r="F463" t="s">
        <v>1440</v>
      </c>
      <c r="G463" t="s">
        <v>1441</v>
      </c>
      <c r="H463" t="s">
        <v>1442</v>
      </c>
      <c r="I463" t="s">
        <v>1441</v>
      </c>
    </row>
    <row r="464" spans="1:9" x14ac:dyDescent="0.2">
      <c r="A464" t="str">
        <f>"8721362798"</f>
        <v>8721362798</v>
      </c>
      <c r="B464" t="s">
        <v>9</v>
      </c>
      <c r="C464" t="s">
        <v>1443</v>
      </c>
      <c r="D464" t="s">
        <v>11</v>
      </c>
      <c r="E464" t="s">
        <v>52</v>
      </c>
      <c r="F464" t="s">
        <v>52</v>
      </c>
      <c r="G464" t="s">
        <v>1444</v>
      </c>
      <c r="H464" t="s">
        <v>1445</v>
      </c>
      <c r="I464" t="s">
        <v>1446</v>
      </c>
    </row>
    <row r="465" spans="1:9" x14ac:dyDescent="0.2">
      <c r="A465" t="str">
        <f>"87279937AB"</f>
        <v>87279937AB</v>
      </c>
      <c r="B465" t="s">
        <v>9</v>
      </c>
      <c r="C465" t="s">
        <v>1447</v>
      </c>
      <c r="D465" t="s">
        <v>11</v>
      </c>
      <c r="E465" t="s">
        <v>340</v>
      </c>
      <c r="F465" t="s">
        <v>340</v>
      </c>
      <c r="G465" t="s">
        <v>1448</v>
      </c>
      <c r="H465" t="s">
        <v>1449</v>
      </c>
      <c r="I465" t="s">
        <v>1448</v>
      </c>
    </row>
    <row r="466" spans="1:9" x14ac:dyDescent="0.2">
      <c r="A466" t="str">
        <f>"8719980323"</f>
        <v>8719980323</v>
      </c>
      <c r="B466" t="s">
        <v>9</v>
      </c>
      <c r="C466" t="s">
        <v>1450</v>
      </c>
      <c r="D466" t="s">
        <v>11</v>
      </c>
      <c r="E466" t="s">
        <v>1451</v>
      </c>
      <c r="F466" t="s">
        <v>1451</v>
      </c>
      <c r="G466" t="s">
        <v>1452</v>
      </c>
      <c r="H466" t="s">
        <v>1453</v>
      </c>
      <c r="I466" t="s">
        <v>1452</v>
      </c>
    </row>
    <row r="467" spans="1:9" x14ac:dyDescent="0.2">
      <c r="A467" t="str">
        <f>"87289426CF"</f>
        <v>87289426CF</v>
      </c>
      <c r="B467" t="s">
        <v>9</v>
      </c>
      <c r="C467" t="s">
        <v>1454</v>
      </c>
      <c r="D467" t="s">
        <v>11</v>
      </c>
      <c r="E467" t="s">
        <v>1455</v>
      </c>
      <c r="F467" t="s">
        <v>1455</v>
      </c>
      <c r="G467" t="s">
        <v>1456</v>
      </c>
      <c r="H467" t="s">
        <v>1453</v>
      </c>
      <c r="I467" t="s">
        <v>1456</v>
      </c>
    </row>
    <row r="468" spans="1:9" x14ac:dyDescent="0.2">
      <c r="A468" t="str">
        <f>"8719657895"</f>
        <v>8719657895</v>
      </c>
      <c r="B468" t="s">
        <v>9</v>
      </c>
      <c r="C468" t="s">
        <v>1457</v>
      </c>
      <c r="D468" t="s">
        <v>11</v>
      </c>
      <c r="E468" t="s">
        <v>1300</v>
      </c>
      <c r="F468" t="s">
        <v>1300</v>
      </c>
      <c r="G468" t="s">
        <v>1096</v>
      </c>
      <c r="H468" t="s">
        <v>1458</v>
      </c>
      <c r="I468" t="s">
        <v>1096</v>
      </c>
    </row>
    <row r="469" spans="1:9" x14ac:dyDescent="0.2">
      <c r="A469" t="str">
        <f>"871749721A"</f>
        <v>871749721A</v>
      </c>
      <c r="B469" t="s">
        <v>9</v>
      </c>
      <c r="C469" t="s">
        <v>1459</v>
      </c>
      <c r="D469" t="s">
        <v>11</v>
      </c>
      <c r="E469" t="s">
        <v>1460</v>
      </c>
      <c r="F469" t="s">
        <v>1460</v>
      </c>
      <c r="G469" t="s">
        <v>102</v>
      </c>
      <c r="H469" t="s">
        <v>1461</v>
      </c>
      <c r="I469" t="s">
        <v>102</v>
      </c>
    </row>
    <row r="470" spans="1:9" x14ac:dyDescent="0.2">
      <c r="A470" t="str">
        <f>"8708281CCE"</f>
        <v>8708281CCE</v>
      </c>
      <c r="B470" t="s">
        <v>9</v>
      </c>
      <c r="C470" t="s">
        <v>1462</v>
      </c>
      <c r="D470" t="s">
        <v>11</v>
      </c>
      <c r="E470" t="s">
        <v>270</v>
      </c>
      <c r="F470" t="s">
        <v>270</v>
      </c>
      <c r="G470" t="s">
        <v>284</v>
      </c>
      <c r="H470" t="s">
        <v>1463</v>
      </c>
      <c r="I470" t="s">
        <v>284</v>
      </c>
    </row>
    <row r="471" spans="1:9" x14ac:dyDescent="0.2">
      <c r="A471" t="str">
        <f>"87175459B4"</f>
        <v>87175459B4</v>
      </c>
      <c r="B471" t="s">
        <v>9</v>
      </c>
      <c r="C471" t="s">
        <v>1464</v>
      </c>
      <c r="D471" t="s">
        <v>11</v>
      </c>
      <c r="E471" t="s">
        <v>1465</v>
      </c>
      <c r="F471" t="s">
        <v>1465</v>
      </c>
      <c r="G471" t="s">
        <v>1466</v>
      </c>
      <c r="H471" t="s">
        <v>1467</v>
      </c>
      <c r="I471" t="s">
        <v>323</v>
      </c>
    </row>
    <row r="472" spans="1:9" x14ac:dyDescent="0.2">
      <c r="A472" t="str">
        <f>"8708238953"</f>
        <v>8708238953</v>
      </c>
      <c r="B472" t="s">
        <v>9</v>
      </c>
      <c r="C472" t="s">
        <v>1468</v>
      </c>
      <c r="D472" t="s">
        <v>11</v>
      </c>
      <c r="E472" t="s">
        <v>626</v>
      </c>
      <c r="F472" t="s">
        <v>626</v>
      </c>
      <c r="G472" t="s">
        <v>1469</v>
      </c>
      <c r="H472" t="s">
        <v>1470</v>
      </c>
      <c r="I472" t="s">
        <v>1469</v>
      </c>
    </row>
    <row r="473" spans="1:9" x14ac:dyDescent="0.2">
      <c r="A473" t="str">
        <f>"8739456B3B"</f>
        <v>8739456B3B</v>
      </c>
      <c r="B473" t="s">
        <v>9</v>
      </c>
      <c r="C473" t="s">
        <v>1471</v>
      </c>
      <c r="D473" t="s">
        <v>11</v>
      </c>
      <c r="E473" t="s">
        <v>1472</v>
      </c>
      <c r="F473" t="s">
        <v>1472</v>
      </c>
      <c r="G473" t="s">
        <v>1473</v>
      </c>
      <c r="H473" t="s">
        <v>1474</v>
      </c>
      <c r="I473" t="s">
        <v>1473</v>
      </c>
    </row>
    <row r="474" spans="1:9" x14ac:dyDescent="0.2">
      <c r="A474" t="str">
        <f>"8708322EA3"</f>
        <v>8708322EA3</v>
      </c>
      <c r="B474" t="s">
        <v>9</v>
      </c>
      <c r="C474" t="s">
        <v>1475</v>
      </c>
      <c r="D474" t="s">
        <v>11</v>
      </c>
      <c r="E474" t="s">
        <v>1476</v>
      </c>
      <c r="F474" t="s">
        <v>1476</v>
      </c>
      <c r="G474" t="s">
        <v>1477</v>
      </c>
      <c r="H474" t="s">
        <v>1478</v>
      </c>
      <c r="I474" t="s">
        <v>1477</v>
      </c>
    </row>
    <row r="475" spans="1:9" x14ac:dyDescent="0.2">
      <c r="A475" t="str">
        <f>"8713970387"</f>
        <v>8713970387</v>
      </c>
      <c r="B475" t="s">
        <v>9</v>
      </c>
      <c r="C475" t="s">
        <v>1479</v>
      </c>
      <c r="D475" t="s">
        <v>37</v>
      </c>
      <c r="E475" t="s">
        <v>41</v>
      </c>
      <c r="F475" t="s">
        <v>41</v>
      </c>
      <c r="G475" t="s">
        <v>1480</v>
      </c>
      <c r="H475" t="s">
        <v>1481</v>
      </c>
      <c r="I475" t="s">
        <v>1480</v>
      </c>
    </row>
    <row r="476" spans="1:9" x14ac:dyDescent="0.2">
      <c r="A476" t="str">
        <f>"8739902B48"</f>
        <v>8739902B48</v>
      </c>
      <c r="B476" t="s">
        <v>9</v>
      </c>
      <c r="C476" t="s">
        <v>1482</v>
      </c>
      <c r="D476" t="s">
        <v>11</v>
      </c>
      <c r="E476" t="s">
        <v>832</v>
      </c>
      <c r="F476" t="s">
        <v>832</v>
      </c>
      <c r="G476" t="s">
        <v>1483</v>
      </c>
      <c r="H476" t="s">
        <v>1478</v>
      </c>
      <c r="I476" t="s">
        <v>1483</v>
      </c>
    </row>
    <row r="477" spans="1:9" x14ac:dyDescent="0.2">
      <c r="A477" t="str">
        <f>"87141865C6"</f>
        <v>87141865C6</v>
      </c>
      <c r="B477" t="s">
        <v>9</v>
      </c>
      <c r="C477" t="s">
        <v>1484</v>
      </c>
      <c r="D477" t="s">
        <v>37</v>
      </c>
      <c r="E477" t="s">
        <v>41</v>
      </c>
      <c r="F477" t="s">
        <v>41</v>
      </c>
      <c r="G477" t="s">
        <v>1485</v>
      </c>
      <c r="H477" t="s">
        <v>1486</v>
      </c>
      <c r="I477" t="s">
        <v>1485</v>
      </c>
    </row>
    <row r="478" spans="1:9" x14ac:dyDescent="0.2">
      <c r="A478" t="str">
        <f>"8714216E85"</f>
        <v>8714216E85</v>
      </c>
      <c r="B478" t="s">
        <v>9</v>
      </c>
      <c r="C478" t="s">
        <v>1487</v>
      </c>
      <c r="D478" t="s">
        <v>37</v>
      </c>
      <c r="E478" t="s">
        <v>41</v>
      </c>
      <c r="F478" t="s">
        <v>41</v>
      </c>
      <c r="G478" t="s">
        <v>1488</v>
      </c>
      <c r="H478" t="s">
        <v>1486</v>
      </c>
      <c r="I478" t="s">
        <v>1488</v>
      </c>
    </row>
    <row r="479" spans="1:9" x14ac:dyDescent="0.2">
      <c r="A479" t="str">
        <f>"8712953C43"</f>
        <v>8712953C43</v>
      </c>
      <c r="B479" t="s">
        <v>9</v>
      </c>
      <c r="C479" t="s">
        <v>1489</v>
      </c>
      <c r="D479" t="s">
        <v>11</v>
      </c>
      <c r="E479" t="s">
        <v>643</v>
      </c>
      <c r="F479" t="s">
        <v>643</v>
      </c>
      <c r="G479" t="s">
        <v>591</v>
      </c>
      <c r="H479" t="s">
        <v>1490</v>
      </c>
      <c r="I479" t="s">
        <v>591</v>
      </c>
    </row>
    <row r="480" spans="1:9" x14ac:dyDescent="0.2">
      <c r="A480" t="str">
        <f>"8712024DA0"</f>
        <v>8712024DA0</v>
      </c>
      <c r="B480" t="s">
        <v>9</v>
      </c>
      <c r="C480" t="s">
        <v>1491</v>
      </c>
      <c r="D480" t="s">
        <v>11</v>
      </c>
      <c r="E480" t="s">
        <v>1055</v>
      </c>
      <c r="F480" t="s">
        <v>1055</v>
      </c>
      <c r="G480" t="s">
        <v>1492</v>
      </c>
      <c r="H480" t="s">
        <v>1493</v>
      </c>
      <c r="I480" t="s">
        <v>1492</v>
      </c>
    </row>
    <row r="481" spans="1:9" x14ac:dyDescent="0.2">
      <c r="A481" t="str">
        <f>"8712015635"</f>
        <v>8712015635</v>
      </c>
      <c r="B481" t="s">
        <v>9</v>
      </c>
      <c r="C481" t="s">
        <v>1494</v>
      </c>
      <c r="D481" t="s">
        <v>11</v>
      </c>
      <c r="E481" t="s">
        <v>1495</v>
      </c>
      <c r="F481" t="s">
        <v>1495</v>
      </c>
      <c r="G481" t="s">
        <v>384</v>
      </c>
      <c r="H481" t="s">
        <v>1496</v>
      </c>
      <c r="I481" t="s">
        <v>384</v>
      </c>
    </row>
    <row r="482" spans="1:9" x14ac:dyDescent="0.2">
      <c r="A482" t="str">
        <f>"8739828E36"</f>
        <v>8739828E36</v>
      </c>
      <c r="B482" t="s">
        <v>9</v>
      </c>
      <c r="C482" t="s">
        <v>1497</v>
      </c>
      <c r="D482" t="s">
        <v>11</v>
      </c>
      <c r="E482" t="s">
        <v>1498</v>
      </c>
      <c r="F482" t="s">
        <v>1498</v>
      </c>
      <c r="G482" t="s">
        <v>1499</v>
      </c>
      <c r="H482" t="s">
        <v>1500</v>
      </c>
      <c r="I482" t="s">
        <v>1499</v>
      </c>
    </row>
    <row r="483" spans="1:9" x14ac:dyDescent="0.2">
      <c r="A483" t="str">
        <f>"87057937A6"</f>
        <v>87057937A6</v>
      </c>
      <c r="B483" t="s">
        <v>9</v>
      </c>
      <c r="C483" t="s">
        <v>1501</v>
      </c>
      <c r="D483" t="s">
        <v>11</v>
      </c>
      <c r="E483" t="s">
        <v>1502</v>
      </c>
      <c r="F483" t="s">
        <v>1502</v>
      </c>
      <c r="G483" t="s">
        <v>1503</v>
      </c>
      <c r="H483" t="s">
        <v>1504</v>
      </c>
      <c r="I483" t="s">
        <v>1503</v>
      </c>
    </row>
    <row r="484" spans="1:9" x14ac:dyDescent="0.2">
      <c r="A484" t="str">
        <f>"8700749536"</f>
        <v>8700749536</v>
      </c>
      <c r="B484" t="s">
        <v>9</v>
      </c>
      <c r="C484" t="s">
        <v>1505</v>
      </c>
      <c r="D484" t="s">
        <v>11</v>
      </c>
      <c r="E484" t="s">
        <v>1506</v>
      </c>
      <c r="F484" t="s">
        <v>1506</v>
      </c>
      <c r="G484" t="s">
        <v>1507</v>
      </c>
      <c r="H484" t="s">
        <v>1508</v>
      </c>
      <c r="I484" t="s">
        <v>1507</v>
      </c>
    </row>
    <row r="485" spans="1:9" x14ac:dyDescent="0.2">
      <c r="A485" t="str">
        <f>"87057346F6"</f>
        <v>87057346F6</v>
      </c>
      <c r="B485" t="s">
        <v>9</v>
      </c>
      <c r="C485" t="s">
        <v>1509</v>
      </c>
      <c r="D485" t="s">
        <v>11</v>
      </c>
      <c r="E485" t="s">
        <v>1510</v>
      </c>
      <c r="F485" t="s">
        <v>1510</v>
      </c>
      <c r="G485" t="s">
        <v>1511</v>
      </c>
      <c r="H485" t="s">
        <v>1512</v>
      </c>
      <c r="I485" t="s">
        <v>1513</v>
      </c>
    </row>
    <row r="486" spans="1:9" x14ac:dyDescent="0.2">
      <c r="A486" t="str">
        <f>"871263128D"</f>
        <v>871263128D</v>
      </c>
      <c r="B486" t="s">
        <v>9</v>
      </c>
      <c r="C486" t="s">
        <v>1514</v>
      </c>
      <c r="D486" t="s">
        <v>11</v>
      </c>
      <c r="E486" t="s">
        <v>647</v>
      </c>
      <c r="F486" t="s">
        <v>647</v>
      </c>
      <c r="G486" t="s">
        <v>1452</v>
      </c>
      <c r="H486" t="s">
        <v>1504</v>
      </c>
      <c r="I486" t="s">
        <v>1452</v>
      </c>
    </row>
    <row r="487" spans="1:9" x14ac:dyDescent="0.2">
      <c r="A487" t="str">
        <f>"86881529D5"</f>
        <v>86881529D5</v>
      </c>
      <c r="B487" t="s">
        <v>9</v>
      </c>
      <c r="C487" t="s">
        <v>1515</v>
      </c>
      <c r="D487" t="s">
        <v>11</v>
      </c>
      <c r="E487" t="s">
        <v>83</v>
      </c>
      <c r="F487" t="s">
        <v>83</v>
      </c>
      <c r="G487" t="s">
        <v>1516</v>
      </c>
      <c r="H487" t="s">
        <v>1517</v>
      </c>
      <c r="I487" t="s">
        <v>1516</v>
      </c>
    </row>
    <row r="488" spans="1:9" x14ac:dyDescent="0.2">
      <c r="A488" t="str">
        <f>"869012994E"</f>
        <v>869012994E</v>
      </c>
      <c r="B488" t="s">
        <v>9</v>
      </c>
      <c r="C488" t="s">
        <v>1518</v>
      </c>
      <c r="D488" t="s">
        <v>11</v>
      </c>
      <c r="E488" t="s">
        <v>1519</v>
      </c>
      <c r="F488" t="s">
        <v>1519</v>
      </c>
      <c r="G488" t="s">
        <v>1520</v>
      </c>
      <c r="H488" t="s">
        <v>1521</v>
      </c>
      <c r="I488" t="s">
        <v>1520</v>
      </c>
    </row>
    <row r="489" spans="1:9" x14ac:dyDescent="0.2">
      <c r="A489" t="str">
        <f>"8739792085"</f>
        <v>8739792085</v>
      </c>
      <c r="B489" t="s">
        <v>9</v>
      </c>
      <c r="C489" t="s">
        <v>1522</v>
      </c>
      <c r="D489" t="s">
        <v>11</v>
      </c>
      <c r="E489" t="s">
        <v>1523</v>
      </c>
      <c r="F489" t="s">
        <v>1523</v>
      </c>
      <c r="G489" t="s">
        <v>999</v>
      </c>
      <c r="H489" t="s">
        <v>1524</v>
      </c>
      <c r="I489" t="s">
        <v>991</v>
      </c>
    </row>
    <row r="490" spans="1:9" x14ac:dyDescent="0.2">
      <c r="A490" t="str">
        <f>"869753481B"</f>
        <v>869753481B</v>
      </c>
      <c r="B490" t="s">
        <v>9</v>
      </c>
      <c r="C490" t="s">
        <v>1525</v>
      </c>
      <c r="D490" t="s">
        <v>11</v>
      </c>
      <c r="E490" t="s">
        <v>1519</v>
      </c>
      <c r="F490" t="s">
        <v>1519</v>
      </c>
      <c r="G490" t="s">
        <v>1526</v>
      </c>
      <c r="H490" t="s">
        <v>1521</v>
      </c>
      <c r="I490" t="s">
        <v>1526</v>
      </c>
    </row>
    <row r="491" spans="1:9" x14ac:dyDescent="0.2">
      <c r="A491" t="str">
        <f>"86974491F8"</f>
        <v>86974491F8</v>
      </c>
      <c r="B491" t="s">
        <v>9</v>
      </c>
      <c r="C491" t="s">
        <v>1527</v>
      </c>
      <c r="D491" t="s">
        <v>11</v>
      </c>
      <c r="E491" t="s">
        <v>1519</v>
      </c>
      <c r="F491" t="s">
        <v>1519</v>
      </c>
      <c r="G491" t="s">
        <v>1528</v>
      </c>
      <c r="H491" t="s">
        <v>1521</v>
      </c>
      <c r="I491" t="s">
        <v>1528</v>
      </c>
    </row>
    <row r="492" spans="1:9" x14ac:dyDescent="0.2">
      <c r="A492" t="str">
        <f>"843797553F"</f>
        <v>843797553F</v>
      </c>
      <c r="B492" t="s">
        <v>9</v>
      </c>
      <c r="C492" t="s">
        <v>1529</v>
      </c>
      <c r="D492" t="s">
        <v>25</v>
      </c>
      <c r="E492" t="s">
        <v>1530</v>
      </c>
      <c r="F492" t="s">
        <v>1531</v>
      </c>
      <c r="G492" t="s">
        <v>1532</v>
      </c>
      <c r="H492" t="s">
        <v>1533</v>
      </c>
    </row>
    <row r="493" spans="1:9" x14ac:dyDescent="0.2">
      <c r="A493" t="str">
        <f>"871391996F"</f>
        <v>871391996F</v>
      </c>
      <c r="B493" t="s">
        <v>9</v>
      </c>
      <c r="C493" t="s">
        <v>1534</v>
      </c>
      <c r="D493" t="s">
        <v>11</v>
      </c>
      <c r="E493" t="s">
        <v>439</v>
      </c>
      <c r="F493" t="s">
        <v>439</v>
      </c>
      <c r="G493" t="s">
        <v>1535</v>
      </c>
      <c r="H493" t="s">
        <v>1536</v>
      </c>
      <c r="I493" t="s">
        <v>1535</v>
      </c>
    </row>
    <row r="494" spans="1:9" x14ac:dyDescent="0.2">
      <c r="A494" t="str">
        <f>"86569071A7"</f>
        <v>86569071A7</v>
      </c>
      <c r="B494" t="s">
        <v>9</v>
      </c>
      <c r="C494" t="s">
        <v>1537</v>
      </c>
      <c r="D494" t="s">
        <v>11</v>
      </c>
      <c r="E494" t="s">
        <v>602</v>
      </c>
      <c r="F494" t="s">
        <v>602</v>
      </c>
      <c r="G494" t="s">
        <v>1538</v>
      </c>
      <c r="H494" t="s">
        <v>1539</v>
      </c>
      <c r="I494" t="s">
        <v>1538</v>
      </c>
    </row>
    <row r="495" spans="1:9" x14ac:dyDescent="0.2">
      <c r="A495" t="str">
        <f>"8656960D60"</f>
        <v>8656960D60</v>
      </c>
      <c r="B495" t="s">
        <v>9</v>
      </c>
      <c r="C495" t="s">
        <v>1537</v>
      </c>
      <c r="D495" t="s">
        <v>11</v>
      </c>
      <c r="E495" t="s">
        <v>83</v>
      </c>
      <c r="F495" t="s">
        <v>83</v>
      </c>
      <c r="G495" t="s">
        <v>1540</v>
      </c>
      <c r="H495" t="s">
        <v>1539</v>
      </c>
      <c r="I495" t="s">
        <v>1540</v>
      </c>
    </row>
    <row r="496" spans="1:9" x14ac:dyDescent="0.2">
      <c r="A496" t="str">
        <f>"866667701D"</f>
        <v>866667701D</v>
      </c>
      <c r="B496" t="s">
        <v>9</v>
      </c>
      <c r="C496" t="s">
        <v>1541</v>
      </c>
      <c r="D496" t="s">
        <v>11</v>
      </c>
      <c r="E496" t="s">
        <v>1542</v>
      </c>
      <c r="F496" t="s">
        <v>1542</v>
      </c>
      <c r="G496" t="s">
        <v>1543</v>
      </c>
      <c r="H496" t="s">
        <v>1539</v>
      </c>
      <c r="I496" t="s">
        <v>1543</v>
      </c>
    </row>
    <row r="497" spans="1:9" x14ac:dyDescent="0.2">
      <c r="A497" t="str">
        <f>"8656979D0E"</f>
        <v>8656979D0E</v>
      </c>
      <c r="B497" t="s">
        <v>9</v>
      </c>
      <c r="C497" t="s">
        <v>1537</v>
      </c>
      <c r="D497" t="s">
        <v>11</v>
      </c>
      <c r="E497" t="s">
        <v>1544</v>
      </c>
      <c r="F497" t="s">
        <v>1544</v>
      </c>
      <c r="G497" t="s">
        <v>1545</v>
      </c>
      <c r="H497" t="s">
        <v>1546</v>
      </c>
      <c r="I497" t="s">
        <v>1545</v>
      </c>
    </row>
    <row r="498" spans="1:9" x14ac:dyDescent="0.2">
      <c r="A498" t="str">
        <f>"869154275A"</f>
        <v>869154275A</v>
      </c>
      <c r="B498" t="s">
        <v>9</v>
      </c>
      <c r="C498" t="s">
        <v>1547</v>
      </c>
      <c r="D498" t="s">
        <v>11</v>
      </c>
      <c r="E498" t="s">
        <v>465</v>
      </c>
      <c r="F498" t="s">
        <v>465</v>
      </c>
      <c r="G498" t="s">
        <v>1548</v>
      </c>
      <c r="H498" t="s">
        <v>1549</v>
      </c>
      <c r="I498" t="s">
        <v>1548</v>
      </c>
    </row>
    <row r="499" spans="1:9" x14ac:dyDescent="0.2">
      <c r="A499" t="str">
        <f>"8685341A1F"</f>
        <v>8685341A1F</v>
      </c>
      <c r="B499" t="s">
        <v>9</v>
      </c>
      <c r="C499" t="s">
        <v>1550</v>
      </c>
      <c r="D499" t="s">
        <v>11</v>
      </c>
      <c r="E499" t="s">
        <v>1551</v>
      </c>
      <c r="F499" t="s">
        <v>1551</v>
      </c>
      <c r="G499" t="s">
        <v>1552</v>
      </c>
      <c r="H499" t="s">
        <v>1546</v>
      </c>
      <c r="I499" t="s">
        <v>1552</v>
      </c>
    </row>
    <row r="500" spans="1:9" x14ac:dyDescent="0.2">
      <c r="A500" t="str">
        <f>"86850000BB"</f>
        <v>86850000BB</v>
      </c>
      <c r="B500" t="s">
        <v>9</v>
      </c>
      <c r="C500" t="s">
        <v>1553</v>
      </c>
      <c r="D500" t="s">
        <v>11</v>
      </c>
      <c r="E500" t="s">
        <v>1554</v>
      </c>
      <c r="F500" t="s">
        <v>1554</v>
      </c>
      <c r="G500" t="s">
        <v>1555</v>
      </c>
      <c r="H500" t="s">
        <v>1556</v>
      </c>
      <c r="I500" t="s">
        <v>1555</v>
      </c>
    </row>
    <row r="501" spans="1:9" x14ac:dyDescent="0.2">
      <c r="A501" t="str">
        <f>"86900919F2"</f>
        <v>86900919F2</v>
      </c>
      <c r="B501" t="s">
        <v>9</v>
      </c>
      <c r="C501" t="s">
        <v>1557</v>
      </c>
      <c r="D501" t="s">
        <v>11</v>
      </c>
      <c r="E501" t="s">
        <v>1289</v>
      </c>
      <c r="F501" t="s">
        <v>1289</v>
      </c>
      <c r="G501" t="s">
        <v>1558</v>
      </c>
      <c r="H501" t="s">
        <v>1559</v>
      </c>
      <c r="I501" t="s">
        <v>1558</v>
      </c>
    </row>
    <row r="502" spans="1:9" x14ac:dyDescent="0.2">
      <c r="A502" t="str">
        <f>"86622689AE"</f>
        <v>86622689AE</v>
      </c>
      <c r="B502" t="s">
        <v>9</v>
      </c>
      <c r="C502" t="s">
        <v>1560</v>
      </c>
      <c r="D502" t="s">
        <v>11</v>
      </c>
      <c r="E502" t="s">
        <v>107</v>
      </c>
      <c r="F502" t="s">
        <v>107</v>
      </c>
      <c r="G502" t="s">
        <v>1561</v>
      </c>
      <c r="H502" t="s">
        <v>1539</v>
      </c>
      <c r="I502" t="s">
        <v>1561</v>
      </c>
    </row>
    <row r="503" spans="1:9" x14ac:dyDescent="0.2">
      <c r="A503" t="str">
        <f>"8739513A45"</f>
        <v>8739513A45</v>
      </c>
      <c r="B503" t="s">
        <v>9</v>
      </c>
      <c r="C503" t="s">
        <v>1562</v>
      </c>
      <c r="D503" t="s">
        <v>11</v>
      </c>
      <c r="E503" t="s">
        <v>270</v>
      </c>
      <c r="F503" t="s">
        <v>270</v>
      </c>
      <c r="G503" t="s">
        <v>1563</v>
      </c>
      <c r="H503" t="s">
        <v>1564</v>
      </c>
      <c r="I503" t="s">
        <v>1563</v>
      </c>
    </row>
    <row r="504" spans="1:9" x14ac:dyDescent="0.2">
      <c r="A504" t="str">
        <f>"867992330E"</f>
        <v>867992330E</v>
      </c>
      <c r="B504" t="s">
        <v>9</v>
      </c>
      <c r="C504" t="s">
        <v>1565</v>
      </c>
      <c r="D504" t="s">
        <v>11</v>
      </c>
      <c r="E504" t="s">
        <v>1566</v>
      </c>
      <c r="F504" t="s">
        <v>1566</v>
      </c>
      <c r="G504" t="s">
        <v>880</v>
      </c>
      <c r="H504" t="s">
        <v>1567</v>
      </c>
      <c r="I504" t="s">
        <v>880</v>
      </c>
    </row>
    <row r="505" spans="1:9" x14ac:dyDescent="0.2">
      <c r="A505" t="str">
        <f>"8656154441"</f>
        <v>8656154441</v>
      </c>
      <c r="B505" t="s">
        <v>9</v>
      </c>
      <c r="C505" t="s">
        <v>1568</v>
      </c>
      <c r="D505" t="s">
        <v>11</v>
      </c>
      <c r="E505" t="s">
        <v>1035</v>
      </c>
      <c r="F505" t="s">
        <v>1035</v>
      </c>
      <c r="G505" t="s">
        <v>1569</v>
      </c>
      <c r="H505" t="s">
        <v>1570</v>
      </c>
      <c r="I505" t="s">
        <v>1569</v>
      </c>
    </row>
    <row r="506" spans="1:9" x14ac:dyDescent="0.2">
      <c r="A506" t="str">
        <f>"8655586F83"</f>
        <v>8655586F83</v>
      </c>
      <c r="B506" t="s">
        <v>9</v>
      </c>
      <c r="C506" t="s">
        <v>1571</v>
      </c>
      <c r="D506" t="s">
        <v>11</v>
      </c>
      <c r="E506" t="s">
        <v>1035</v>
      </c>
      <c r="F506" t="s">
        <v>1035</v>
      </c>
      <c r="G506" t="s">
        <v>1572</v>
      </c>
      <c r="H506" t="s">
        <v>1573</v>
      </c>
      <c r="I506" t="s">
        <v>1572</v>
      </c>
    </row>
    <row r="507" spans="1:9" x14ac:dyDescent="0.2">
      <c r="A507" t="str">
        <f>"8605968D72"</f>
        <v>8605968D72</v>
      </c>
      <c r="B507" t="s">
        <v>9</v>
      </c>
      <c r="C507" t="s">
        <v>1574</v>
      </c>
      <c r="D507" t="s">
        <v>11</v>
      </c>
      <c r="E507" t="s">
        <v>413</v>
      </c>
      <c r="F507" t="s">
        <v>413</v>
      </c>
      <c r="G507" t="s">
        <v>1575</v>
      </c>
      <c r="H507" t="s">
        <v>1576</v>
      </c>
      <c r="I507" t="s">
        <v>1575</v>
      </c>
    </row>
    <row r="508" spans="1:9" x14ac:dyDescent="0.2">
      <c r="A508" t="str">
        <f>"86805031B0"</f>
        <v>86805031B0</v>
      </c>
      <c r="B508" t="s">
        <v>9</v>
      </c>
      <c r="C508" t="s">
        <v>1577</v>
      </c>
      <c r="D508" t="s">
        <v>37</v>
      </c>
      <c r="E508" t="s">
        <v>41</v>
      </c>
      <c r="F508" t="s">
        <v>41</v>
      </c>
      <c r="G508" t="s">
        <v>1578</v>
      </c>
      <c r="H508" t="s">
        <v>1579</v>
      </c>
      <c r="I508" t="s">
        <v>1578</v>
      </c>
    </row>
    <row r="509" spans="1:9" x14ac:dyDescent="0.2">
      <c r="A509" t="str">
        <f>"8670668D93"</f>
        <v>8670668D93</v>
      </c>
      <c r="B509" t="s">
        <v>9</v>
      </c>
      <c r="C509" t="s">
        <v>1580</v>
      </c>
      <c r="D509" t="s">
        <v>11</v>
      </c>
      <c r="E509" t="s">
        <v>1581</v>
      </c>
      <c r="F509" t="s">
        <v>1581</v>
      </c>
      <c r="G509" t="s">
        <v>485</v>
      </c>
      <c r="H509" t="s">
        <v>1582</v>
      </c>
      <c r="I509" t="s">
        <v>485</v>
      </c>
    </row>
    <row r="510" spans="1:9" x14ac:dyDescent="0.2">
      <c r="A510" t="str">
        <f>"8675254612"</f>
        <v>8675254612</v>
      </c>
      <c r="B510" t="s">
        <v>9</v>
      </c>
      <c r="C510" t="s">
        <v>1583</v>
      </c>
      <c r="D510" t="s">
        <v>11</v>
      </c>
      <c r="E510" t="s">
        <v>794</v>
      </c>
      <c r="F510" t="s">
        <v>794</v>
      </c>
      <c r="G510" t="s">
        <v>1584</v>
      </c>
      <c r="H510" t="s">
        <v>1585</v>
      </c>
      <c r="I510" t="s">
        <v>1584</v>
      </c>
    </row>
    <row r="511" spans="1:9" x14ac:dyDescent="0.2">
      <c r="A511" t="str">
        <f>"867725160C"</f>
        <v>867725160C</v>
      </c>
      <c r="B511" t="s">
        <v>9</v>
      </c>
      <c r="C511" t="s">
        <v>1586</v>
      </c>
      <c r="D511" t="s">
        <v>37</v>
      </c>
      <c r="E511" t="s">
        <v>410</v>
      </c>
      <c r="F511" t="s">
        <v>410</v>
      </c>
      <c r="G511" t="s">
        <v>1587</v>
      </c>
      <c r="H511" t="s">
        <v>1588</v>
      </c>
      <c r="I511" t="s">
        <v>1587</v>
      </c>
    </row>
    <row r="512" spans="1:9" x14ac:dyDescent="0.2">
      <c r="A512" t="str">
        <f>"866614269C"</f>
        <v>866614269C</v>
      </c>
      <c r="B512" t="s">
        <v>9</v>
      </c>
      <c r="C512" t="s">
        <v>1589</v>
      </c>
      <c r="D512" t="s">
        <v>11</v>
      </c>
      <c r="E512" t="s">
        <v>1590</v>
      </c>
      <c r="F512" t="s">
        <v>1590</v>
      </c>
      <c r="G512" t="s">
        <v>1591</v>
      </c>
      <c r="H512" t="s">
        <v>1592</v>
      </c>
      <c r="I512" t="s">
        <v>1591</v>
      </c>
    </row>
    <row r="513" spans="1:9" x14ac:dyDescent="0.2">
      <c r="A513" t="str">
        <f>"8662167656"</f>
        <v>8662167656</v>
      </c>
      <c r="B513" t="s">
        <v>9</v>
      </c>
      <c r="C513" t="s">
        <v>1593</v>
      </c>
      <c r="D513" t="s">
        <v>11</v>
      </c>
      <c r="E513" t="s">
        <v>907</v>
      </c>
      <c r="F513" t="s">
        <v>907</v>
      </c>
      <c r="G513" t="s">
        <v>1594</v>
      </c>
      <c r="H513" t="s">
        <v>1595</v>
      </c>
      <c r="I513" t="s">
        <v>1596</v>
      </c>
    </row>
    <row r="514" spans="1:9" x14ac:dyDescent="0.2">
      <c r="A514" t="str">
        <f>"8653808446"</f>
        <v>8653808446</v>
      </c>
      <c r="B514" t="s">
        <v>9</v>
      </c>
      <c r="C514" t="s">
        <v>1597</v>
      </c>
      <c r="D514" t="s">
        <v>11</v>
      </c>
      <c r="E514" t="s">
        <v>357</v>
      </c>
      <c r="F514" t="s">
        <v>357</v>
      </c>
      <c r="G514" t="s">
        <v>1598</v>
      </c>
      <c r="H514" t="s">
        <v>1599</v>
      </c>
      <c r="I514" t="s">
        <v>1598</v>
      </c>
    </row>
    <row r="515" spans="1:9" x14ac:dyDescent="0.2">
      <c r="A515" t="str">
        <f>"8653939062"</f>
        <v>8653939062</v>
      </c>
      <c r="B515" t="s">
        <v>9</v>
      </c>
      <c r="C515" t="s">
        <v>1600</v>
      </c>
      <c r="D515" t="s">
        <v>11</v>
      </c>
      <c r="E515" t="s">
        <v>357</v>
      </c>
      <c r="F515" t="s">
        <v>357</v>
      </c>
      <c r="G515" t="s">
        <v>1601</v>
      </c>
      <c r="H515" t="s">
        <v>1599</v>
      </c>
      <c r="I515" t="s">
        <v>1601</v>
      </c>
    </row>
    <row r="516" spans="1:9" x14ac:dyDescent="0.2">
      <c r="A516" t="str">
        <f>"8656733210"</f>
        <v>8656733210</v>
      </c>
      <c r="B516" t="s">
        <v>9</v>
      </c>
      <c r="C516" t="s">
        <v>1602</v>
      </c>
      <c r="D516" t="s">
        <v>11</v>
      </c>
      <c r="E516" t="s">
        <v>1603</v>
      </c>
      <c r="F516" t="s">
        <v>1603</v>
      </c>
      <c r="G516" t="s">
        <v>1604</v>
      </c>
      <c r="H516" t="s">
        <v>1605</v>
      </c>
      <c r="I516" t="s">
        <v>1604</v>
      </c>
    </row>
    <row r="517" spans="1:9" x14ac:dyDescent="0.2">
      <c r="A517" t="str">
        <f>"8641856D29"</f>
        <v>8641856D29</v>
      </c>
      <c r="B517" t="s">
        <v>9</v>
      </c>
      <c r="C517" t="s">
        <v>1606</v>
      </c>
      <c r="D517" t="s">
        <v>11</v>
      </c>
      <c r="E517" t="s">
        <v>1542</v>
      </c>
      <c r="F517" t="s">
        <v>1542</v>
      </c>
      <c r="G517" t="s">
        <v>1607</v>
      </c>
      <c r="H517" t="s">
        <v>1608</v>
      </c>
    </row>
    <row r="518" spans="1:9" x14ac:dyDescent="0.2">
      <c r="A518" t="str">
        <f>"8629263519"</f>
        <v>8629263519</v>
      </c>
      <c r="B518" t="s">
        <v>9</v>
      </c>
      <c r="C518" t="s">
        <v>1609</v>
      </c>
      <c r="D518" t="s">
        <v>11</v>
      </c>
      <c r="E518" t="s">
        <v>1610</v>
      </c>
      <c r="F518" t="s">
        <v>1610</v>
      </c>
      <c r="G518" t="s">
        <v>102</v>
      </c>
      <c r="H518" t="s">
        <v>1611</v>
      </c>
      <c r="I518" t="s">
        <v>102</v>
      </c>
    </row>
    <row r="519" spans="1:9" x14ac:dyDescent="0.2">
      <c r="A519" t="str">
        <f>"8629521A00"</f>
        <v>8629521A00</v>
      </c>
      <c r="B519" t="s">
        <v>9</v>
      </c>
      <c r="C519" t="s">
        <v>1612</v>
      </c>
      <c r="D519" t="s">
        <v>11</v>
      </c>
      <c r="E519" t="s">
        <v>873</v>
      </c>
      <c r="F519" t="s">
        <v>873</v>
      </c>
      <c r="G519" t="s">
        <v>1613</v>
      </c>
      <c r="H519" t="s">
        <v>1611</v>
      </c>
      <c r="I519" t="s">
        <v>1613</v>
      </c>
    </row>
    <row r="520" spans="1:9" x14ac:dyDescent="0.2">
      <c r="A520" t="str">
        <f>"86424149A4"</f>
        <v>86424149A4</v>
      </c>
      <c r="B520" t="s">
        <v>9</v>
      </c>
      <c r="C520" t="s">
        <v>1614</v>
      </c>
      <c r="D520" t="s">
        <v>11</v>
      </c>
      <c r="E520" t="s">
        <v>1615</v>
      </c>
      <c r="F520" t="s">
        <v>1615</v>
      </c>
      <c r="G520" t="s">
        <v>1616</v>
      </c>
      <c r="H520" t="s">
        <v>1617</v>
      </c>
      <c r="I520" t="s">
        <v>1616</v>
      </c>
    </row>
    <row r="521" spans="1:9" x14ac:dyDescent="0.2">
      <c r="A521" t="str">
        <f>"8723070914"</f>
        <v>8723070914</v>
      </c>
      <c r="B521" t="s">
        <v>9</v>
      </c>
      <c r="C521" t="s">
        <v>1618</v>
      </c>
      <c r="D521" t="s">
        <v>37</v>
      </c>
      <c r="E521" t="s">
        <v>41</v>
      </c>
      <c r="F521" t="s">
        <v>41</v>
      </c>
      <c r="G521" t="s">
        <v>1619</v>
      </c>
      <c r="H521" t="s">
        <v>1620</v>
      </c>
      <c r="I521" t="s">
        <v>1619</v>
      </c>
    </row>
    <row r="522" spans="1:9" x14ac:dyDescent="0.2">
      <c r="A522" t="str">
        <f>"8643351EDF"</f>
        <v>8643351EDF</v>
      </c>
      <c r="B522" t="s">
        <v>9</v>
      </c>
      <c r="C522" t="s">
        <v>1621</v>
      </c>
      <c r="D522" t="s">
        <v>11</v>
      </c>
      <c r="E522" t="s">
        <v>1622</v>
      </c>
      <c r="F522" t="s">
        <v>1622</v>
      </c>
      <c r="G522" t="s">
        <v>1623</v>
      </c>
      <c r="H522" t="s">
        <v>1624</v>
      </c>
      <c r="I522" t="s">
        <v>1623</v>
      </c>
    </row>
    <row r="523" spans="1:9" x14ac:dyDescent="0.2">
      <c r="A523" t="str">
        <f>"8660201FEE"</f>
        <v>8660201FEE</v>
      </c>
      <c r="B523" t="s">
        <v>9</v>
      </c>
      <c r="C523" t="s">
        <v>1625</v>
      </c>
      <c r="D523" t="s">
        <v>11</v>
      </c>
      <c r="E523" t="s">
        <v>1323</v>
      </c>
      <c r="F523" t="s">
        <v>1323</v>
      </c>
      <c r="G523" t="s">
        <v>1626</v>
      </c>
      <c r="H523" t="s">
        <v>1627</v>
      </c>
      <c r="I523" t="s">
        <v>1626</v>
      </c>
    </row>
    <row r="524" spans="1:9" x14ac:dyDescent="0.2">
      <c r="A524" t="str">
        <f>"85654343BE"</f>
        <v>85654343BE</v>
      </c>
      <c r="B524" t="s">
        <v>9</v>
      </c>
      <c r="C524" t="s">
        <v>1628</v>
      </c>
      <c r="D524" t="s">
        <v>37</v>
      </c>
      <c r="E524" t="s">
        <v>1629</v>
      </c>
      <c r="F524" t="s">
        <v>1629</v>
      </c>
      <c r="G524" t="s">
        <v>1630</v>
      </c>
      <c r="H524" t="s">
        <v>1631</v>
      </c>
      <c r="I524" t="s">
        <v>1632</v>
      </c>
    </row>
    <row r="525" spans="1:9" x14ac:dyDescent="0.2">
      <c r="A525" t="str">
        <f>"8722590CF7"</f>
        <v>8722590CF7</v>
      </c>
      <c r="B525" t="s">
        <v>9</v>
      </c>
      <c r="C525" t="s">
        <v>1633</v>
      </c>
      <c r="D525" t="s">
        <v>37</v>
      </c>
      <c r="E525" t="s">
        <v>41</v>
      </c>
      <c r="F525" t="s">
        <v>41</v>
      </c>
      <c r="G525" t="s">
        <v>1634</v>
      </c>
      <c r="H525" t="s">
        <v>1620</v>
      </c>
      <c r="I525" t="s">
        <v>1634</v>
      </c>
    </row>
    <row r="526" spans="1:9" x14ac:dyDescent="0.2">
      <c r="A526" t="str">
        <f>"8565424B7B"</f>
        <v>8565424B7B</v>
      </c>
      <c r="B526" t="s">
        <v>9</v>
      </c>
      <c r="C526" t="s">
        <v>1635</v>
      </c>
      <c r="D526" t="s">
        <v>37</v>
      </c>
      <c r="E526" t="s">
        <v>1636</v>
      </c>
      <c r="F526" t="s">
        <v>1636</v>
      </c>
      <c r="G526" t="s">
        <v>1637</v>
      </c>
      <c r="H526" t="s">
        <v>1638</v>
      </c>
      <c r="I526" t="s">
        <v>1639</v>
      </c>
    </row>
    <row r="527" spans="1:9" x14ac:dyDescent="0.2">
      <c r="A527" t="str">
        <f>"Z812C33FC6"</f>
        <v>Z812C33FC6</v>
      </c>
      <c r="B527" t="s">
        <v>9</v>
      </c>
      <c r="C527" t="s">
        <v>1640</v>
      </c>
      <c r="D527" t="s">
        <v>11</v>
      </c>
      <c r="E527" t="s">
        <v>328</v>
      </c>
      <c r="F527" t="s">
        <v>328</v>
      </c>
      <c r="G527" t="s">
        <v>1641</v>
      </c>
      <c r="H527" t="s">
        <v>1642</v>
      </c>
    </row>
    <row r="528" spans="1:9" x14ac:dyDescent="0.2">
      <c r="A528" t="str">
        <f>"8642629B10"</f>
        <v>8642629B10</v>
      </c>
      <c r="B528" t="s">
        <v>9</v>
      </c>
      <c r="C528" t="s">
        <v>1643</v>
      </c>
      <c r="D528" t="s">
        <v>11</v>
      </c>
      <c r="E528" t="s">
        <v>1644</v>
      </c>
      <c r="F528" t="s">
        <v>1645</v>
      </c>
      <c r="G528" t="s">
        <v>804</v>
      </c>
      <c r="H528" t="s">
        <v>1642</v>
      </c>
      <c r="I528" t="s">
        <v>1646</v>
      </c>
    </row>
    <row r="529" spans="1:9" x14ac:dyDescent="0.2">
      <c r="A529" t="str">
        <f>"8637497004"</f>
        <v>8637497004</v>
      </c>
      <c r="B529" t="s">
        <v>9</v>
      </c>
      <c r="C529" t="s">
        <v>1647</v>
      </c>
      <c r="D529" t="s">
        <v>11</v>
      </c>
      <c r="E529" t="s">
        <v>1026</v>
      </c>
      <c r="F529" t="s">
        <v>1026</v>
      </c>
      <c r="G529" t="s">
        <v>1648</v>
      </c>
      <c r="H529" t="s">
        <v>1649</v>
      </c>
      <c r="I529" t="s">
        <v>1648</v>
      </c>
    </row>
    <row r="530" spans="1:9" x14ac:dyDescent="0.2">
      <c r="A530" t="str">
        <f>"ZAF3071969"</f>
        <v>ZAF3071969</v>
      </c>
      <c r="B530" t="s">
        <v>9</v>
      </c>
      <c r="C530" t="s">
        <v>1650</v>
      </c>
      <c r="D530" t="s">
        <v>11</v>
      </c>
      <c r="E530" t="s">
        <v>1300</v>
      </c>
      <c r="F530" t="s">
        <v>1300</v>
      </c>
      <c r="G530" t="s">
        <v>1651</v>
      </c>
      <c r="H530" t="s">
        <v>1652</v>
      </c>
      <c r="I530" t="s">
        <v>1651</v>
      </c>
    </row>
    <row r="531" spans="1:9" x14ac:dyDescent="0.2">
      <c r="A531" t="str">
        <f>"8604848135"</f>
        <v>8604848135</v>
      </c>
      <c r="B531" t="s">
        <v>9</v>
      </c>
      <c r="C531" t="s">
        <v>1653</v>
      </c>
      <c r="D531" t="s">
        <v>11</v>
      </c>
      <c r="E531" t="s">
        <v>1654</v>
      </c>
      <c r="F531" t="s">
        <v>1654</v>
      </c>
      <c r="G531" t="s">
        <v>1092</v>
      </c>
      <c r="H531" t="s">
        <v>1655</v>
      </c>
    </row>
    <row r="532" spans="1:9" x14ac:dyDescent="0.2">
      <c r="A532" t="str">
        <f>"86141204B3"</f>
        <v>86141204B3</v>
      </c>
      <c r="B532" t="s">
        <v>9</v>
      </c>
      <c r="C532" t="s">
        <v>1656</v>
      </c>
      <c r="D532" t="s">
        <v>11</v>
      </c>
      <c r="E532" t="s">
        <v>1657</v>
      </c>
      <c r="F532" t="s">
        <v>1657</v>
      </c>
      <c r="G532" t="s">
        <v>1658</v>
      </c>
      <c r="H532" t="s">
        <v>1659</v>
      </c>
      <c r="I532" t="s">
        <v>1658</v>
      </c>
    </row>
    <row r="533" spans="1:9" x14ac:dyDescent="0.2">
      <c r="A533" t="str">
        <f>"85570583A6"</f>
        <v>85570583A6</v>
      </c>
      <c r="B533" t="s">
        <v>9</v>
      </c>
      <c r="C533" t="s">
        <v>1660</v>
      </c>
      <c r="D533" t="s">
        <v>58</v>
      </c>
      <c r="G533" t="s">
        <v>1661</v>
      </c>
      <c r="H533" t="s">
        <v>1662</v>
      </c>
      <c r="I533" t="s">
        <v>1661</v>
      </c>
    </row>
    <row r="534" spans="1:9" x14ac:dyDescent="0.2">
      <c r="A534" t="str">
        <f>"8628921ADD"</f>
        <v>8628921ADD</v>
      </c>
      <c r="B534" t="s">
        <v>9</v>
      </c>
      <c r="C534" t="s">
        <v>1663</v>
      </c>
      <c r="D534" t="s">
        <v>11</v>
      </c>
      <c r="E534" t="s">
        <v>1664</v>
      </c>
      <c r="F534" t="s">
        <v>1664</v>
      </c>
      <c r="G534" t="s">
        <v>1665</v>
      </c>
      <c r="H534" t="s">
        <v>1666</v>
      </c>
      <c r="I534" t="s">
        <v>1133</v>
      </c>
    </row>
    <row r="535" spans="1:9" x14ac:dyDescent="0.2">
      <c r="A535" t="str">
        <f>"85383125F5"</f>
        <v>85383125F5</v>
      </c>
      <c r="B535" t="s">
        <v>9</v>
      </c>
      <c r="C535" t="s">
        <v>1667</v>
      </c>
      <c r="D535" t="s">
        <v>58</v>
      </c>
      <c r="G535" t="s">
        <v>1668</v>
      </c>
      <c r="H535" t="s">
        <v>1669</v>
      </c>
      <c r="I535" t="s">
        <v>1670</v>
      </c>
    </row>
    <row r="536" spans="1:9" x14ac:dyDescent="0.2">
      <c r="A536" t="str">
        <f>"86139876F1"</f>
        <v>86139876F1</v>
      </c>
      <c r="B536" t="s">
        <v>9</v>
      </c>
      <c r="C536" t="s">
        <v>1671</v>
      </c>
      <c r="D536" t="s">
        <v>11</v>
      </c>
      <c r="E536" t="s">
        <v>1672</v>
      </c>
      <c r="F536" t="s">
        <v>1672</v>
      </c>
      <c r="G536" t="s">
        <v>1658</v>
      </c>
      <c r="H536" t="s">
        <v>1673</v>
      </c>
      <c r="I536" t="s">
        <v>216</v>
      </c>
    </row>
    <row r="537" spans="1:9" x14ac:dyDescent="0.2">
      <c r="A537" t="str">
        <f>"8637591D92"</f>
        <v>8637591D92</v>
      </c>
      <c r="B537" t="s">
        <v>9</v>
      </c>
      <c r="C537" t="s">
        <v>1674</v>
      </c>
      <c r="D537" t="s">
        <v>11</v>
      </c>
      <c r="E537" t="s">
        <v>83</v>
      </c>
      <c r="F537" t="s">
        <v>83</v>
      </c>
      <c r="G537" t="s">
        <v>1675</v>
      </c>
      <c r="H537" t="s">
        <v>1676</v>
      </c>
      <c r="I537" t="s">
        <v>1675</v>
      </c>
    </row>
    <row r="538" spans="1:9" x14ac:dyDescent="0.2">
      <c r="A538" t="str">
        <f>"86047711AA"</f>
        <v>86047711AA</v>
      </c>
      <c r="B538" t="s">
        <v>9</v>
      </c>
      <c r="C538" t="s">
        <v>1677</v>
      </c>
      <c r="D538" t="s">
        <v>11</v>
      </c>
      <c r="E538" t="s">
        <v>1678</v>
      </c>
      <c r="F538" t="s">
        <v>1678</v>
      </c>
      <c r="G538" t="s">
        <v>1658</v>
      </c>
      <c r="H538" t="s">
        <v>1659</v>
      </c>
      <c r="I538" t="s">
        <v>1658</v>
      </c>
    </row>
    <row r="539" spans="1:9" x14ac:dyDescent="0.2">
      <c r="A539" t="str">
        <f>"8634537557"</f>
        <v>8634537557</v>
      </c>
      <c r="B539" t="s">
        <v>9</v>
      </c>
      <c r="C539" t="s">
        <v>1679</v>
      </c>
      <c r="D539" t="s">
        <v>11</v>
      </c>
      <c r="E539" t="s">
        <v>46</v>
      </c>
      <c r="F539" t="s">
        <v>46</v>
      </c>
      <c r="G539" t="s">
        <v>1680</v>
      </c>
      <c r="H539" t="s">
        <v>1676</v>
      </c>
      <c r="I539" t="s">
        <v>1680</v>
      </c>
    </row>
    <row r="540" spans="1:9" x14ac:dyDescent="0.2">
      <c r="A540" t="str">
        <f>"85460496BB"</f>
        <v>85460496BB</v>
      </c>
      <c r="B540" t="s">
        <v>9</v>
      </c>
      <c r="C540" t="s">
        <v>1681</v>
      </c>
      <c r="D540" t="s">
        <v>58</v>
      </c>
      <c r="E540" t="s">
        <v>1682</v>
      </c>
      <c r="F540" t="s">
        <v>1683</v>
      </c>
      <c r="G540" t="s">
        <v>1684</v>
      </c>
      <c r="H540" t="s">
        <v>1685</v>
      </c>
      <c r="I540" t="s">
        <v>1686</v>
      </c>
    </row>
    <row r="541" spans="1:9" x14ac:dyDescent="0.2">
      <c r="A541" t="str">
        <f>"8629629322"</f>
        <v>8629629322</v>
      </c>
      <c r="B541" t="s">
        <v>9</v>
      </c>
      <c r="C541" t="s">
        <v>1687</v>
      </c>
      <c r="D541" t="s">
        <v>37</v>
      </c>
      <c r="E541" t="s">
        <v>410</v>
      </c>
      <c r="F541" t="s">
        <v>410</v>
      </c>
      <c r="G541" t="s">
        <v>1688</v>
      </c>
      <c r="H541" t="s">
        <v>1689</v>
      </c>
      <c r="I541" t="s">
        <v>1688</v>
      </c>
    </row>
    <row r="542" spans="1:9" x14ac:dyDescent="0.2">
      <c r="A542" t="str">
        <f>"Z10307022A"</f>
        <v>Z10307022A</v>
      </c>
      <c r="B542" t="s">
        <v>9</v>
      </c>
      <c r="C542" t="s">
        <v>1690</v>
      </c>
      <c r="D542" t="s">
        <v>11</v>
      </c>
      <c r="E542" t="s">
        <v>1460</v>
      </c>
      <c r="F542" t="s">
        <v>1460</v>
      </c>
      <c r="G542" t="s">
        <v>591</v>
      </c>
      <c r="H542" t="s">
        <v>1691</v>
      </c>
      <c r="I542" t="s">
        <v>591</v>
      </c>
    </row>
    <row r="543" spans="1:9" x14ac:dyDescent="0.2">
      <c r="A543" t="str">
        <f>"Z1530729C0"</f>
        <v>Z1530729C0</v>
      </c>
      <c r="B543" t="s">
        <v>9</v>
      </c>
      <c r="C543" t="s">
        <v>1692</v>
      </c>
      <c r="D543" t="s">
        <v>11</v>
      </c>
      <c r="E543" t="s">
        <v>1226</v>
      </c>
      <c r="F543" t="s">
        <v>1226</v>
      </c>
      <c r="G543" t="s">
        <v>721</v>
      </c>
      <c r="H543" t="s">
        <v>1691</v>
      </c>
      <c r="I543" t="s">
        <v>721</v>
      </c>
    </row>
    <row r="544" spans="1:9" x14ac:dyDescent="0.2">
      <c r="A544" t="str">
        <f>"861714442F"</f>
        <v>861714442F</v>
      </c>
      <c r="B544" t="s">
        <v>9</v>
      </c>
      <c r="C544" t="s">
        <v>1693</v>
      </c>
      <c r="D544" t="s">
        <v>11</v>
      </c>
      <c r="E544" t="s">
        <v>425</v>
      </c>
      <c r="F544" t="s">
        <v>425</v>
      </c>
      <c r="G544" t="s">
        <v>1694</v>
      </c>
      <c r="H544" t="s">
        <v>1695</v>
      </c>
      <c r="I544" t="s">
        <v>1694</v>
      </c>
    </row>
    <row r="545" spans="1:9" x14ac:dyDescent="0.2">
      <c r="A545" t="str">
        <f>"8628457BF5"</f>
        <v>8628457BF5</v>
      </c>
      <c r="B545" t="s">
        <v>9</v>
      </c>
      <c r="C545" t="s">
        <v>1696</v>
      </c>
      <c r="D545" t="s">
        <v>11</v>
      </c>
      <c r="E545" t="s">
        <v>1697</v>
      </c>
      <c r="F545" t="s">
        <v>1697</v>
      </c>
      <c r="G545" t="s">
        <v>1698</v>
      </c>
      <c r="H545" t="s">
        <v>1699</v>
      </c>
      <c r="I545" t="s">
        <v>1698</v>
      </c>
    </row>
    <row r="546" spans="1:9" x14ac:dyDescent="0.2">
      <c r="A546" t="str">
        <f>"8628387234"</f>
        <v>8628387234</v>
      </c>
      <c r="B546" t="s">
        <v>9</v>
      </c>
      <c r="C546" t="s">
        <v>1700</v>
      </c>
      <c r="D546" t="s">
        <v>11</v>
      </c>
      <c r="E546" t="s">
        <v>1701</v>
      </c>
      <c r="F546" t="s">
        <v>1701</v>
      </c>
      <c r="G546" t="s">
        <v>1702</v>
      </c>
      <c r="H546" t="s">
        <v>1699</v>
      </c>
      <c r="I546" t="s">
        <v>1702</v>
      </c>
    </row>
    <row r="547" spans="1:9" x14ac:dyDescent="0.2">
      <c r="A547" t="str">
        <f>"8628328184"</f>
        <v>8628328184</v>
      </c>
      <c r="B547" t="s">
        <v>9</v>
      </c>
      <c r="C547" t="s">
        <v>1703</v>
      </c>
      <c r="D547" t="s">
        <v>11</v>
      </c>
      <c r="E547" t="s">
        <v>1704</v>
      </c>
      <c r="F547" t="s">
        <v>1704</v>
      </c>
      <c r="G547" t="s">
        <v>1705</v>
      </c>
      <c r="H547" t="s">
        <v>1699</v>
      </c>
      <c r="I547" t="s">
        <v>1705</v>
      </c>
    </row>
    <row r="548" spans="1:9" x14ac:dyDescent="0.2">
      <c r="A548" t="str">
        <f>"8627801E9B"</f>
        <v>8627801E9B</v>
      </c>
      <c r="B548" t="s">
        <v>9</v>
      </c>
      <c r="C548" t="s">
        <v>1706</v>
      </c>
      <c r="D548" t="s">
        <v>11</v>
      </c>
      <c r="E548" t="s">
        <v>331</v>
      </c>
      <c r="F548" t="s">
        <v>331</v>
      </c>
      <c r="G548" t="s">
        <v>1707</v>
      </c>
      <c r="H548" t="s">
        <v>1699</v>
      </c>
      <c r="I548" t="s">
        <v>1707</v>
      </c>
    </row>
    <row r="549" spans="1:9" x14ac:dyDescent="0.2">
      <c r="A549" t="str">
        <f>"8678634B54"</f>
        <v>8678634B54</v>
      </c>
      <c r="B549" t="s">
        <v>9</v>
      </c>
      <c r="C549" t="s">
        <v>1708</v>
      </c>
      <c r="D549" t="s">
        <v>11</v>
      </c>
      <c r="E549" t="s">
        <v>1709</v>
      </c>
      <c r="F549" t="s">
        <v>1709</v>
      </c>
      <c r="G549" t="s">
        <v>1710</v>
      </c>
      <c r="H549" t="s">
        <v>1711</v>
      </c>
      <c r="I549" t="s">
        <v>1710</v>
      </c>
    </row>
    <row r="550" spans="1:9" x14ac:dyDescent="0.2">
      <c r="A550" t="str">
        <f>"Z992F4531B"</f>
        <v>Z992F4531B</v>
      </c>
      <c r="B550" t="s">
        <v>9</v>
      </c>
      <c r="C550" t="s">
        <v>1712</v>
      </c>
      <c r="D550" t="s">
        <v>37</v>
      </c>
      <c r="E550" t="s">
        <v>1636</v>
      </c>
      <c r="F550" t="s">
        <v>1636</v>
      </c>
      <c r="G550" t="s">
        <v>1713</v>
      </c>
      <c r="H550" t="s">
        <v>1714</v>
      </c>
      <c r="I550" t="s">
        <v>1715</v>
      </c>
    </row>
    <row r="551" spans="1:9" x14ac:dyDescent="0.2">
      <c r="A551" t="str">
        <f>"86293740B4"</f>
        <v>86293740B4</v>
      </c>
      <c r="B551" t="s">
        <v>9</v>
      </c>
      <c r="C551" t="s">
        <v>1716</v>
      </c>
      <c r="D551" t="s">
        <v>11</v>
      </c>
      <c r="E551" t="s">
        <v>1323</v>
      </c>
      <c r="F551" t="s">
        <v>1323</v>
      </c>
      <c r="G551" t="s">
        <v>1717</v>
      </c>
      <c r="H551" t="s">
        <v>1718</v>
      </c>
      <c r="I551" t="s">
        <v>1717</v>
      </c>
    </row>
    <row r="552" spans="1:9" x14ac:dyDescent="0.2">
      <c r="A552" t="str">
        <f>"861697263E"</f>
        <v>861697263E</v>
      </c>
      <c r="B552" t="s">
        <v>9</v>
      </c>
      <c r="C552" t="s">
        <v>1719</v>
      </c>
      <c r="D552" t="s">
        <v>11</v>
      </c>
      <c r="E552" t="s">
        <v>1720</v>
      </c>
      <c r="F552" t="s">
        <v>929</v>
      </c>
      <c r="G552" t="s">
        <v>1721</v>
      </c>
      <c r="H552" t="s">
        <v>1722</v>
      </c>
      <c r="I552" t="s">
        <v>1723</v>
      </c>
    </row>
    <row r="553" spans="1:9" x14ac:dyDescent="0.2">
      <c r="A553" t="str">
        <f>"ZB62FA4BA1"</f>
        <v>ZB62FA4BA1</v>
      </c>
      <c r="B553" t="s">
        <v>9</v>
      </c>
      <c r="C553" t="s">
        <v>1724</v>
      </c>
      <c r="D553" t="s">
        <v>11</v>
      </c>
      <c r="E553" t="s">
        <v>1725</v>
      </c>
      <c r="F553" t="s">
        <v>1725</v>
      </c>
      <c r="G553" t="s">
        <v>1181</v>
      </c>
      <c r="H553" t="s">
        <v>1726</v>
      </c>
      <c r="I553" t="s">
        <v>1727</v>
      </c>
    </row>
    <row r="554" spans="1:9" x14ac:dyDescent="0.2">
      <c r="A554" t="str">
        <f>"8592395CA7"</f>
        <v>8592395CA7</v>
      </c>
      <c r="B554" t="s">
        <v>9</v>
      </c>
      <c r="C554" t="s">
        <v>1728</v>
      </c>
      <c r="D554" t="s">
        <v>11</v>
      </c>
      <c r="E554" t="s">
        <v>1729</v>
      </c>
      <c r="F554" t="s">
        <v>1729</v>
      </c>
      <c r="G554" t="s">
        <v>1730</v>
      </c>
      <c r="H554" t="s">
        <v>1731</v>
      </c>
      <c r="I554" t="s">
        <v>1732</v>
      </c>
    </row>
    <row r="555" spans="1:9" x14ac:dyDescent="0.2">
      <c r="A555" t="str">
        <f>"Z2A2FEBB84"</f>
        <v>Z2A2FEBB84</v>
      </c>
      <c r="B555" t="s">
        <v>9</v>
      </c>
      <c r="C555" t="s">
        <v>1733</v>
      </c>
      <c r="D555" t="s">
        <v>11</v>
      </c>
      <c r="E555" t="s">
        <v>1734</v>
      </c>
      <c r="F555" t="s">
        <v>1734</v>
      </c>
      <c r="G555" t="s">
        <v>1713</v>
      </c>
      <c r="H555" t="s">
        <v>1735</v>
      </c>
      <c r="I555" t="s">
        <v>1736</v>
      </c>
    </row>
    <row r="556" spans="1:9" x14ac:dyDescent="0.2">
      <c r="A556" t="str">
        <f>"8976404AE8"</f>
        <v>8976404AE8</v>
      </c>
      <c r="B556" t="s">
        <v>9</v>
      </c>
      <c r="C556" t="s">
        <v>486</v>
      </c>
      <c r="D556" t="s">
        <v>11</v>
      </c>
      <c r="E556" t="s">
        <v>1737</v>
      </c>
      <c r="F556" t="s">
        <v>1737</v>
      </c>
      <c r="G556" t="s">
        <v>1738</v>
      </c>
      <c r="H556" t="s">
        <v>1739</v>
      </c>
      <c r="I556" t="s">
        <v>1738</v>
      </c>
    </row>
    <row r="557" spans="1:9" x14ac:dyDescent="0.2">
      <c r="A557" t="str">
        <f>"Z2A2BA244D"</f>
        <v>Z2A2BA244D</v>
      </c>
      <c r="B557" t="s">
        <v>9</v>
      </c>
      <c r="C557" t="s">
        <v>1640</v>
      </c>
      <c r="D557" t="s">
        <v>11</v>
      </c>
      <c r="E557" t="s">
        <v>1011</v>
      </c>
      <c r="F557" t="s">
        <v>1011</v>
      </c>
      <c r="G557" t="s">
        <v>1740</v>
      </c>
      <c r="H557" t="s">
        <v>1741</v>
      </c>
      <c r="I557" t="s">
        <v>1740</v>
      </c>
    </row>
    <row r="558" spans="1:9" x14ac:dyDescent="0.2">
      <c r="A558" t="str">
        <f>"Z902F81E49"</f>
        <v>Z902F81E49</v>
      </c>
      <c r="B558" t="s">
        <v>9</v>
      </c>
      <c r="C558" t="s">
        <v>1742</v>
      </c>
      <c r="D558" t="s">
        <v>11</v>
      </c>
      <c r="E558" t="s">
        <v>281</v>
      </c>
      <c r="F558" t="s">
        <v>281</v>
      </c>
      <c r="G558" t="s">
        <v>1429</v>
      </c>
      <c r="H558" t="s">
        <v>1743</v>
      </c>
      <c r="I558" t="s">
        <v>1429</v>
      </c>
    </row>
    <row r="559" spans="1:9" x14ac:dyDescent="0.2">
      <c r="A559" t="str">
        <f>"ZED2FD0FA5"</f>
        <v>ZED2FD0FA5</v>
      </c>
      <c r="B559" t="s">
        <v>9</v>
      </c>
      <c r="C559" t="s">
        <v>1744</v>
      </c>
      <c r="D559" t="s">
        <v>11</v>
      </c>
      <c r="E559" t="s">
        <v>1745</v>
      </c>
      <c r="F559" t="s">
        <v>1745</v>
      </c>
      <c r="G559" t="s">
        <v>1746</v>
      </c>
      <c r="H559" t="s">
        <v>1747</v>
      </c>
      <c r="I559" t="s">
        <v>1748</v>
      </c>
    </row>
    <row r="560" spans="1:9" x14ac:dyDescent="0.2">
      <c r="A560" t="str">
        <f>"Z2C2EAFBC7"</f>
        <v>Z2C2EAFBC7</v>
      </c>
      <c r="B560" t="s">
        <v>9</v>
      </c>
      <c r="C560" t="s">
        <v>1749</v>
      </c>
      <c r="D560" t="s">
        <v>37</v>
      </c>
      <c r="E560" t="s">
        <v>1636</v>
      </c>
      <c r="F560" t="s">
        <v>1636</v>
      </c>
      <c r="G560" t="s">
        <v>721</v>
      </c>
      <c r="H560" t="s">
        <v>1750</v>
      </c>
      <c r="I560" t="s">
        <v>1751</v>
      </c>
    </row>
    <row r="561" spans="1:9" x14ac:dyDescent="0.2">
      <c r="A561" t="str">
        <f>"Z2C300A93B"</f>
        <v>Z2C300A93B</v>
      </c>
      <c r="B561" t="s">
        <v>9</v>
      </c>
      <c r="C561" t="s">
        <v>1752</v>
      </c>
      <c r="D561" t="s">
        <v>11</v>
      </c>
      <c r="E561" t="s">
        <v>1753</v>
      </c>
      <c r="F561" t="s">
        <v>1753</v>
      </c>
      <c r="G561" t="s">
        <v>1613</v>
      </c>
      <c r="H561" t="s">
        <v>1754</v>
      </c>
    </row>
    <row r="562" spans="1:9" x14ac:dyDescent="0.2">
      <c r="A562" t="str">
        <f>"ZAA2FF0055"</f>
        <v>ZAA2FF0055</v>
      </c>
      <c r="B562" t="s">
        <v>9</v>
      </c>
      <c r="C562" t="s">
        <v>1755</v>
      </c>
      <c r="D562" t="s">
        <v>25</v>
      </c>
      <c r="E562" t="s">
        <v>660</v>
      </c>
      <c r="F562" t="s">
        <v>660</v>
      </c>
      <c r="G562" t="s">
        <v>1756</v>
      </c>
      <c r="H562" t="s">
        <v>1757</v>
      </c>
    </row>
    <row r="563" spans="1:9" x14ac:dyDescent="0.2">
      <c r="A563" t="str">
        <f>"Z8A2FC36C0"</f>
        <v>Z8A2FC36C0</v>
      </c>
      <c r="B563" t="s">
        <v>9</v>
      </c>
      <c r="C563" t="s">
        <v>1758</v>
      </c>
      <c r="D563" t="s">
        <v>11</v>
      </c>
      <c r="E563" t="s">
        <v>1063</v>
      </c>
      <c r="F563" t="s">
        <v>1063</v>
      </c>
      <c r="G563" t="s">
        <v>1759</v>
      </c>
      <c r="H563" t="s">
        <v>1760</v>
      </c>
      <c r="I563" t="s">
        <v>323</v>
      </c>
    </row>
    <row r="564" spans="1:9" x14ac:dyDescent="0.2">
      <c r="A564" t="str">
        <f>"Z0C2FE38DF"</f>
        <v>Z0C2FE38DF</v>
      </c>
      <c r="B564" t="s">
        <v>9</v>
      </c>
      <c r="C564" t="s">
        <v>1761</v>
      </c>
      <c r="D564" t="s">
        <v>11</v>
      </c>
      <c r="E564" t="s">
        <v>1107</v>
      </c>
      <c r="F564" t="s">
        <v>1107</v>
      </c>
      <c r="G564" t="s">
        <v>1762</v>
      </c>
      <c r="H564" t="s">
        <v>1763</v>
      </c>
      <c r="I564" t="s">
        <v>1762</v>
      </c>
    </row>
    <row r="565" spans="1:9" x14ac:dyDescent="0.2">
      <c r="A565" t="str">
        <f>"Z2D2FE37F6"</f>
        <v>Z2D2FE37F6</v>
      </c>
      <c r="B565" t="s">
        <v>9</v>
      </c>
      <c r="C565" t="s">
        <v>1764</v>
      </c>
      <c r="D565" t="s">
        <v>11</v>
      </c>
      <c r="E565" t="s">
        <v>1107</v>
      </c>
      <c r="F565" t="s">
        <v>1107</v>
      </c>
      <c r="G565" t="s">
        <v>1765</v>
      </c>
      <c r="H565" t="s">
        <v>1763</v>
      </c>
      <c r="I565" t="s">
        <v>1765</v>
      </c>
    </row>
    <row r="566" spans="1:9" x14ac:dyDescent="0.2">
      <c r="A566" t="str">
        <f>"Z7E2FD55BC"</f>
        <v>Z7E2FD55BC</v>
      </c>
      <c r="B566" t="s">
        <v>9</v>
      </c>
      <c r="C566" t="s">
        <v>1766</v>
      </c>
      <c r="D566" t="s">
        <v>11</v>
      </c>
      <c r="E566" t="s">
        <v>1767</v>
      </c>
      <c r="F566" t="s">
        <v>1767</v>
      </c>
      <c r="G566" t="s">
        <v>1768</v>
      </c>
      <c r="H566" t="s">
        <v>1769</v>
      </c>
      <c r="I566" t="s">
        <v>1768</v>
      </c>
    </row>
    <row r="567" spans="1:9" x14ac:dyDescent="0.2">
      <c r="A567" t="str">
        <f>"ZE32F994A5"</f>
        <v>ZE32F994A5</v>
      </c>
      <c r="B567" t="s">
        <v>9</v>
      </c>
      <c r="C567" t="s">
        <v>1770</v>
      </c>
      <c r="D567" t="s">
        <v>11</v>
      </c>
      <c r="E567" t="s">
        <v>1771</v>
      </c>
      <c r="F567" t="s">
        <v>1771</v>
      </c>
      <c r="G567" t="s">
        <v>1772</v>
      </c>
      <c r="H567" t="s">
        <v>1773</v>
      </c>
      <c r="I567" t="s">
        <v>1772</v>
      </c>
    </row>
    <row r="568" spans="1:9" x14ac:dyDescent="0.2">
      <c r="A568" t="str">
        <f>"ZB92F98B49"</f>
        <v>ZB92F98B49</v>
      </c>
      <c r="B568" t="s">
        <v>9</v>
      </c>
      <c r="C568" t="s">
        <v>1774</v>
      </c>
      <c r="D568" t="s">
        <v>11</v>
      </c>
      <c r="E568" t="s">
        <v>1771</v>
      </c>
      <c r="F568" t="s">
        <v>1771</v>
      </c>
      <c r="G568" t="s">
        <v>1775</v>
      </c>
      <c r="H568" t="s">
        <v>1773</v>
      </c>
      <c r="I568" t="s">
        <v>1775</v>
      </c>
    </row>
    <row r="569" spans="1:9" x14ac:dyDescent="0.2">
      <c r="A569" t="str">
        <f>"Z9A2F825E2"</f>
        <v>Z9A2F825E2</v>
      </c>
      <c r="B569" t="s">
        <v>9</v>
      </c>
      <c r="C569" t="s">
        <v>1776</v>
      </c>
      <c r="D569" t="s">
        <v>11</v>
      </c>
      <c r="E569" t="s">
        <v>1777</v>
      </c>
      <c r="F569" t="s">
        <v>1777</v>
      </c>
      <c r="G569" t="s">
        <v>105</v>
      </c>
      <c r="H569" t="s">
        <v>1778</v>
      </c>
    </row>
    <row r="570" spans="1:9" x14ac:dyDescent="0.2">
      <c r="A570" t="str">
        <f>"ZD42E7F272"</f>
        <v>ZD42E7F272</v>
      </c>
      <c r="B570" t="s">
        <v>9</v>
      </c>
      <c r="C570" t="s">
        <v>1779</v>
      </c>
      <c r="D570" t="s">
        <v>37</v>
      </c>
      <c r="E570" t="s">
        <v>249</v>
      </c>
      <c r="F570" t="s">
        <v>249</v>
      </c>
      <c r="G570" t="s">
        <v>1780</v>
      </c>
      <c r="H570" t="s">
        <v>1778</v>
      </c>
      <c r="I570" t="s">
        <v>1781</v>
      </c>
    </row>
    <row r="571" spans="1:9" x14ac:dyDescent="0.2">
      <c r="A571" t="str">
        <f>"ZCC2FA75D6"</f>
        <v>ZCC2FA75D6</v>
      </c>
      <c r="B571" t="s">
        <v>9</v>
      </c>
      <c r="C571" t="s">
        <v>1782</v>
      </c>
      <c r="D571" t="s">
        <v>11</v>
      </c>
      <c r="E571" t="s">
        <v>425</v>
      </c>
      <c r="F571" t="s">
        <v>425</v>
      </c>
      <c r="G571" t="s">
        <v>1783</v>
      </c>
      <c r="H571" t="s">
        <v>1784</v>
      </c>
      <c r="I571" t="s">
        <v>1785</v>
      </c>
    </row>
    <row r="572" spans="1:9" x14ac:dyDescent="0.2">
      <c r="A572" t="str">
        <f>"Z122F8CE25"</f>
        <v>Z122F8CE25</v>
      </c>
      <c r="B572" t="s">
        <v>9</v>
      </c>
      <c r="C572" t="s">
        <v>1640</v>
      </c>
      <c r="D572" t="s">
        <v>11</v>
      </c>
      <c r="E572" t="s">
        <v>340</v>
      </c>
      <c r="F572" t="s">
        <v>340</v>
      </c>
      <c r="G572" t="s">
        <v>1601</v>
      </c>
      <c r="H572" t="s">
        <v>1786</v>
      </c>
    </row>
    <row r="573" spans="1:9" x14ac:dyDescent="0.2">
      <c r="A573" t="str">
        <f>"Z902F836CC"</f>
        <v>Z902F836CC</v>
      </c>
      <c r="B573" t="s">
        <v>9</v>
      </c>
      <c r="C573" t="s">
        <v>1640</v>
      </c>
      <c r="D573" t="s">
        <v>11</v>
      </c>
      <c r="E573" t="s">
        <v>917</v>
      </c>
      <c r="F573" t="s">
        <v>917</v>
      </c>
      <c r="G573" t="s">
        <v>102</v>
      </c>
      <c r="H573" t="s">
        <v>1787</v>
      </c>
    </row>
    <row r="574" spans="1:9" x14ac:dyDescent="0.2">
      <c r="A574" t="str">
        <f>"Z5F2F66984"</f>
        <v>Z5F2F66984</v>
      </c>
      <c r="B574" t="s">
        <v>9</v>
      </c>
      <c r="C574" t="s">
        <v>1788</v>
      </c>
      <c r="D574" t="s">
        <v>11</v>
      </c>
      <c r="E574" t="s">
        <v>387</v>
      </c>
      <c r="F574" t="s">
        <v>387</v>
      </c>
      <c r="G574" t="s">
        <v>388</v>
      </c>
      <c r="H574" t="s">
        <v>1789</v>
      </c>
      <c r="I574" t="s">
        <v>388</v>
      </c>
    </row>
    <row r="575" spans="1:9" x14ac:dyDescent="0.2">
      <c r="A575" t="str">
        <f>"Z202F838F7"</f>
        <v>Z202F838F7</v>
      </c>
      <c r="B575" t="s">
        <v>9</v>
      </c>
      <c r="C575" t="s">
        <v>1640</v>
      </c>
      <c r="D575" t="s">
        <v>11</v>
      </c>
      <c r="E575" t="s">
        <v>910</v>
      </c>
      <c r="F575" t="s">
        <v>910</v>
      </c>
      <c r="G575" t="s">
        <v>1790</v>
      </c>
      <c r="H575" t="s">
        <v>1787</v>
      </c>
    </row>
    <row r="576" spans="1:9" x14ac:dyDescent="0.2">
      <c r="A576" t="str">
        <f>"Z1A2F66B82"</f>
        <v>Z1A2F66B82</v>
      </c>
      <c r="B576" t="s">
        <v>9</v>
      </c>
      <c r="C576" t="s">
        <v>1791</v>
      </c>
      <c r="D576" t="s">
        <v>11</v>
      </c>
      <c r="E576" t="s">
        <v>1792</v>
      </c>
      <c r="F576" t="s">
        <v>1792</v>
      </c>
      <c r="G576" t="s">
        <v>880</v>
      </c>
      <c r="H576" t="s">
        <v>1793</v>
      </c>
      <c r="I576" t="s">
        <v>880</v>
      </c>
    </row>
    <row r="577" spans="1:9" x14ac:dyDescent="0.2">
      <c r="A577" t="str">
        <f>"ZE72F835BC"</f>
        <v>ZE72F835BC</v>
      </c>
      <c r="B577" t="s">
        <v>9</v>
      </c>
      <c r="C577" t="s">
        <v>1640</v>
      </c>
      <c r="D577" t="s">
        <v>11</v>
      </c>
      <c r="E577" t="s">
        <v>602</v>
      </c>
      <c r="F577" t="s">
        <v>602</v>
      </c>
      <c r="G577" t="s">
        <v>1794</v>
      </c>
      <c r="H577" t="s">
        <v>1787</v>
      </c>
    </row>
    <row r="578" spans="1:9" x14ac:dyDescent="0.2">
      <c r="A578" t="str">
        <f>"Z2B2F83707"</f>
        <v>Z2B2F83707</v>
      </c>
      <c r="B578" t="s">
        <v>9</v>
      </c>
      <c r="C578" t="s">
        <v>1640</v>
      </c>
      <c r="D578" t="s">
        <v>11</v>
      </c>
      <c r="E578" t="s">
        <v>331</v>
      </c>
      <c r="F578" t="s">
        <v>331</v>
      </c>
      <c r="G578" t="s">
        <v>1795</v>
      </c>
      <c r="H578" t="s">
        <v>1787</v>
      </c>
    </row>
    <row r="579" spans="1:9" x14ac:dyDescent="0.2">
      <c r="A579" t="str">
        <f>"844839299F"</f>
        <v>844839299F</v>
      </c>
      <c r="B579" t="s">
        <v>9</v>
      </c>
      <c r="C579" t="s">
        <v>1796</v>
      </c>
      <c r="D579" t="s">
        <v>37</v>
      </c>
      <c r="E579" t="s">
        <v>1636</v>
      </c>
      <c r="F579" t="s">
        <v>1636</v>
      </c>
      <c r="G579" t="s">
        <v>1797</v>
      </c>
      <c r="H579" t="s">
        <v>1798</v>
      </c>
      <c r="I579" t="s">
        <v>1799</v>
      </c>
    </row>
    <row r="580" spans="1:9" x14ac:dyDescent="0.2">
      <c r="A580" t="str">
        <f>"Z1E2EF9D50"</f>
        <v>Z1E2EF9D50</v>
      </c>
      <c r="B580" t="s">
        <v>9</v>
      </c>
      <c r="C580" t="s">
        <v>1640</v>
      </c>
      <c r="D580" t="s">
        <v>11</v>
      </c>
      <c r="E580" t="s">
        <v>340</v>
      </c>
      <c r="F580" t="s">
        <v>340</v>
      </c>
      <c r="G580" t="s">
        <v>1800</v>
      </c>
      <c r="H580" t="s">
        <v>1787</v>
      </c>
    </row>
    <row r="581" spans="1:9" x14ac:dyDescent="0.2">
      <c r="A581" t="str">
        <f>"Z362F82D3F"</f>
        <v>Z362F82D3F</v>
      </c>
      <c r="B581" t="s">
        <v>9</v>
      </c>
      <c r="C581" t="s">
        <v>1801</v>
      </c>
      <c r="D581" t="s">
        <v>25</v>
      </c>
      <c r="E581" t="s">
        <v>1802</v>
      </c>
      <c r="F581" t="s">
        <v>1802</v>
      </c>
      <c r="G581" t="s">
        <v>1803</v>
      </c>
      <c r="H581" t="s">
        <v>1787</v>
      </c>
    </row>
    <row r="582" spans="1:9" x14ac:dyDescent="0.2">
      <c r="A582" t="str">
        <f>"Z7F2F0300E"</f>
        <v>Z7F2F0300E</v>
      </c>
      <c r="B582" t="s">
        <v>9</v>
      </c>
      <c r="C582" t="s">
        <v>1804</v>
      </c>
      <c r="D582" t="s">
        <v>11</v>
      </c>
      <c r="E582" t="s">
        <v>1777</v>
      </c>
      <c r="F582" t="s">
        <v>1777</v>
      </c>
      <c r="G582" t="s">
        <v>1805</v>
      </c>
      <c r="H582" t="s">
        <v>1787</v>
      </c>
    </row>
    <row r="583" spans="1:9" x14ac:dyDescent="0.2">
      <c r="A583" t="str">
        <f>"ZED2F83564"</f>
        <v>ZED2F83564</v>
      </c>
      <c r="B583" t="s">
        <v>9</v>
      </c>
      <c r="C583" t="s">
        <v>1640</v>
      </c>
      <c r="D583" t="s">
        <v>11</v>
      </c>
      <c r="E583" t="s">
        <v>340</v>
      </c>
      <c r="F583" t="s">
        <v>340</v>
      </c>
      <c r="G583" t="s">
        <v>1806</v>
      </c>
      <c r="H583" t="s">
        <v>1787</v>
      </c>
    </row>
    <row r="584" spans="1:9" x14ac:dyDescent="0.2">
      <c r="A584" t="str">
        <f>"ZCF2F83912"</f>
        <v>ZCF2F83912</v>
      </c>
      <c r="B584" t="s">
        <v>9</v>
      </c>
      <c r="C584" t="s">
        <v>1640</v>
      </c>
      <c r="D584" t="s">
        <v>11</v>
      </c>
      <c r="E584" t="s">
        <v>337</v>
      </c>
      <c r="F584" t="s">
        <v>337</v>
      </c>
      <c r="G584" t="s">
        <v>1807</v>
      </c>
      <c r="H584" t="s">
        <v>1787</v>
      </c>
    </row>
    <row r="585" spans="1:9" x14ac:dyDescent="0.2">
      <c r="A585" t="str">
        <f>"Z682F834D7"</f>
        <v>Z682F834D7</v>
      </c>
      <c r="B585" t="s">
        <v>9</v>
      </c>
      <c r="C585" t="s">
        <v>1640</v>
      </c>
      <c r="D585" t="s">
        <v>11</v>
      </c>
      <c r="E585" t="s">
        <v>340</v>
      </c>
      <c r="F585" t="s">
        <v>340</v>
      </c>
      <c r="G585" t="s">
        <v>1808</v>
      </c>
      <c r="H585" t="s">
        <v>1787</v>
      </c>
    </row>
    <row r="586" spans="1:9" x14ac:dyDescent="0.2">
      <c r="A586" t="str">
        <f>"Z802F83763"</f>
        <v>Z802F83763</v>
      </c>
      <c r="B586" t="s">
        <v>9</v>
      </c>
      <c r="C586" t="s">
        <v>1640</v>
      </c>
      <c r="D586" t="s">
        <v>11</v>
      </c>
      <c r="E586" t="s">
        <v>1465</v>
      </c>
      <c r="F586" t="s">
        <v>1465</v>
      </c>
      <c r="G586" t="s">
        <v>1809</v>
      </c>
      <c r="H586" t="s">
        <v>1787</v>
      </c>
    </row>
    <row r="587" spans="1:9" x14ac:dyDescent="0.2">
      <c r="A587" t="str">
        <f>"Z7A2F837BB"</f>
        <v>Z7A2F837BB</v>
      </c>
      <c r="B587" t="s">
        <v>9</v>
      </c>
      <c r="C587" t="s">
        <v>1640</v>
      </c>
      <c r="D587" t="s">
        <v>11</v>
      </c>
      <c r="E587" t="s">
        <v>1810</v>
      </c>
      <c r="F587" t="s">
        <v>1810</v>
      </c>
      <c r="G587" t="s">
        <v>1513</v>
      </c>
      <c r="H587" t="s">
        <v>1787</v>
      </c>
    </row>
    <row r="588" spans="1:9" x14ac:dyDescent="0.2">
      <c r="A588" t="str">
        <f>"Z612F838D6"</f>
        <v>Z612F838D6</v>
      </c>
      <c r="B588" t="s">
        <v>9</v>
      </c>
      <c r="C588" t="s">
        <v>1640</v>
      </c>
      <c r="D588" t="s">
        <v>11</v>
      </c>
      <c r="E588" t="s">
        <v>610</v>
      </c>
      <c r="F588" t="s">
        <v>610</v>
      </c>
      <c r="G588" t="s">
        <v>1811</v>
      </c>
      <c r="H588" t="s">
        <v>1787</v>
      </c>
    </row>
    <row r="589" spans="1:9" x14ac:dyDescent="0.2">
      <c r="A589" t="str">
        <f>"ZEC2F8361A"</f>
        <v>ZEC2F8361A</v>
      </c>
      <c r="B589" t="s">
        <v>9</v>
      </c>
      <c r="C589" t="s">
        <v>1640</v>
      </c>
      <c r="D589" t="s">
        <v>11</v>
      </c>
      <c r="E589" t="s">
        <v>602</v>
      </c>
      <c r="F589" t="s">
        <v>602</v>
      </c>
      <c r="G589" t="s">
        <v>1812</v>
      </c>
      <c r="H589" t="s">
        <v>1787</v>
      </c>
    </row>
    <row r="590" spans="1:9" x14ac:dyDescent="0.2">
      <c r="A590" t="str">
        <f>"865129065A"</f>
        <v>865129065A</v>
      </c>
      <c r="B590" t="s">
        <v>9</v>
      </c>
      <c r="C590" t="s">
        <v>1813</v>
      </c>
      <c r="D590" t="s">
        <v>11</v>
      </c>
      <c r="E590" t="s">
        <v>1269</v>
      </c>
      <c r="F590" t="s">
        <v>1269</v>
      </c>
      <c r="G590" t="s">
        <v>1814</v>
      </c>
      <c r="H590" t="s">
        <v>1815</v>
      </c>
      <c r="I590" t="s">
        <v>1816</v>
      </c>
    </row>
    <row r="591" spans="1:9" x14ac:dyDescent="0.2">
      <c r="A591" t="str">
        <f>"ZB62F8373C"</f>
        <v>ZB62F8373C</v>
      </c>
      <c r="B591" t="s">
        <v>9</v>
      </c>
      <c r="C591" t="s">
        <v>1640</v>
      </c>
      <c r="D591" t="s">
        <v>11</v>
      </c>
      <c r="E591" t="s">
        <v>626</v>
      </c>
      <c r="F591" t="s">
        <v>626</v>
      </c>
      <c r="G591" t="s">
        <v>105</v>
      </c>
      <c r="H591" t="s">
        <v>1787</v>
      </c>
    </row>
    <row r="592" spans="1:9" x14ac:dyDescent="0.2">
      <c r="A592" t="str">
        <f>"Z2F2F8352A"</f>
        <v>Z2F2F8352A</v>
      </c>
      <c r="B592" t="s">
        <v>9</v>
      </c>
      <c r="C592" t="s">
        <v>1640</v>
      </c>
      <c r="D592" t="s">
        <v>11</v>
      </c>
      <c r="E592" t="s">
        <v>340</v>
      </c>
      <c r="F592" t="s">
        <v>340</v>
      </c>
      <c r="G592" t="s">
        <v>1817</v>
      </c>
      <c r="H592" t="s">
        <v>1787</v>
      </c>
    </row>
    <row r="593" spans="1:9" x14ac:dyDescent="0.2">
      <c r="A593" t="str">
        <f>"ZBD2F8CE27"</f>
        <v>ZBD2F8CE27</v>
      </c>
      <c r="B593" t="s">
        <v>9</v>
      </c>
      <c r="C593" t="s">
        <v>1640</v>
      </c>
      <c r="D593" t="s">
        <v>11</v>
      </c>
      <c r="E593" t="s">
        <v>602</v>
      </c>
      <c r="F593" t="s">
        <v>602</v>
      </c>
      <c r="G593" t="s">
        <v>1818</v>
      </c>
      <c r="H593" t="s">
        <v>1787</v>
      </c>
    </row>
    <row r="594" spans="1:9" x14ac:dyDescent="0.2">
      <c r="A594" t="str">
        <f>"Z822F837ED"</f>
        <v>Z822F837ED</v>
      </c>
      <c r="B594" t="s">
        <v>9</v>
      </c>
      <c r="C594" t="s">
        <v>1640</v>
      </c>
      <c r="D594" t="s">
        <v>11</v>
      </c>
      <c r="E594" t="s">
        <v>1819</v>
      </c>
      <c r="F594" t="s">
        <v>1819</v>
      </c>
      <c r="G594" t="s">
        <v>358</v>
      </c>
      <c r="H594" t="s">
        <v>1787</v>
      </c>
    </row>
    <row r="595" spans="1:9" x14ac:dyDescent="0.2">
      <c r="A595" t="str">
        <f>"ZC12F8383D"</f>
        <v>ZC12F8383D</v>
      </c>
      <c r="B595" t="s">
        <v>9</v>
      </c>
      <c r="C595" t="s">
        <v>1640</v>
      </c>
      <c r="D595" t="s">
        <v>11</v>
      </c>
      <c r="E595" t="s">
        <v>86</v>
      </c>
      <c r="F595" t="s">
        <v>86</v>
      </c>
      <c r="G595" t="s">
        <v>1023</v>
      </c>
      <c r="H595" t="s">
        <v>1787</v>
      </c>
    </row>
    <row r="596" spans="1:9" x14ac:dyDescent="0.2">
      <c r="A596" t="str">
        <f>"ZCD2F8378D"</f>
        <v>ZCD2F8378D</v>
      </c>
      <c r="B596" t="s">
        <v>9</v>
      </c>
      <c r="C596" t="s">
        <v>1640</v>
      </c>
      <c r="D596" t="s">
        <v>11</v>
      </c>
      <c r="E596" t="s">
        <v>107</v>
      </c>
      <c r="F596" t="s">
        <v>107</v>
      </c>
      <c r="G596" t="s">
        <v>1820</v>
      </c>
      <c r="H596" t="s">
        <v>1787</v>
      </c>
    </row>
    <row r="597" spans="1:9" x14ac:dyDescent="0.2">
      <c r="A597" t="str">
        <f>"ZF92F838A0"</f>
        <v>ZF92F838A0</v>
      </c>
      <c r="B597" t="s">
        <v>9</v>
      </c>
      <c r="C597" t="s">
        <v>1640</v>
      </c>
      <c r="D597" t="s">
        <v>11</v>
      </c>
      <c r="E597" t="s">
        <v>917</v>
      </c>
      <c r="F597" t="s">
        <v>917</v>
      </c>
      <c r="G597" t="s">
        <v>1821</v>
      </c>
      <c r="H597" t="s">
        <v>1787</v>
      </c>
    </row>
    <row r="598" spans="1:9" x14ac:dyDescent="0.2">
      <c r="A598" t="str">
        <f>"ZC72F835EF"</f>
        <v>ZC72F835EF</v>
      </c>
      <c r="B598" t="s">
        <v>9</v>
      </c>
      <c r="C598" t="s">
        <v>1640</v>
      </c>
      <c r="D598" t="s">
        <v>11</v>
      </c>
      <c r="E598" t="s">
        <v>602</v>
      </c>
      <c r="F598" t="s">
        <v>602</v>
      </c>
      <c r="G598" t="s">
        <v>607</v>
      </c>
      <c r="H598" t="s">
        <v>1787</v>
      </c>
    </row>
    <row r="599" spans="1:9" x14ac:dyDescent="0.2">
      <c r="A599" t="str">
        <f>"ZEB2EF9CAE"</f>
        <v>ZEB2EF9CAE</v>
      </c>
      <c r="B599" t="s">
        <v>9</v>
      </c>
      <c r="C599" t="s">
        <v>1640</v>
      </c>
      <c r="D599" t="s">
        <v>11</v>
      </c>
      <c r="E599" t="s">
        <v>910</v>
      </c>
      <c r="F599" t="s">
        <v>910</v>
      </c>
      <c r="G599" t="s">
        <v>741</v>
      </c>
      <c r="H599" t="s">
        <v>1822</v>
      </c>
    </row>
    <row r="600" spans="1:9" x14ac:dyDescent="0.2">
      <c r="A600" t="str">
        <f>"ZAA2EAEFA8"</f>
        <v>ZAA2EAEFA8</v>
      </c>
      <c r="B600" t="s">
        <v>9</v>
      </c>
      <c r="C600" t="s">
        <v>1823</v>
      </c>
      <c r="D600" t="s">
        <v>37</v>
      </c>
      <c r="E600" t="s">
        <v>505</v>
      </c>
      <c r="F600" t="s">
        <v>505</v>
      </c>
      <c r="G600" t="s">
        <v>1824</v>
      </c>
      <c r="H600" t="s">
        <v>1825</v>
      </c>
      <c r="I600" t="s">
        <v>1826</v>
      </c>
    </row>
    <row r="601" spans="1:9" x14ac:dyDescent="0.2">
      <c r="A601" t="str">
        <f>"Z092F503FF"</f>
        <v>Z092F503FF</v>
      </c>
      <c r="B601" t="s">
        <v>9</v>
      </c>
      <c r="C601" t="s">
        <v>1827</v>
      </c>
      <c r="D601" t="s">
        <v>11</v>
      </c>
      <c r="E601" t="s">
        <v>421</v>
      </c>
      <c r="F601" t="s">
        <v>421</v>
      </c>
      <c r="G601" t="s">
        <v>1828</v>
      </c>
      <c r="H601" t="s">
        <v>1829</v>
      </c>
      <c r="I601" t="s">
        <v>1828</v>
      </c>
    </row>
    <row r="602" spans="1:9" x14ac:dyDescent="0.2">
      <c r="A602" t="str">
        <f>"Z1B2F513A2"</f>
        <v>Z1B2F513A2</v>
      </c>
      <c r="B602" t="s">
        <v>9</v>
      </c>
      <c r="C602" t="s">
        <v>1830</v>
      </c>
      <c r="D602" t="s">
        <v>11</v>
      </c>
      <c r="E602" t="s">
        <v>1107</v>
      </c>
      <c r="F602" t="s">
        <v>1107</v>
      </c>
      <c r="G602" t="s">
        <v>1831</v>
      </c>
      <c r="H602" t="s">
        <v>1832</v>
      </c>
      <c r="I602" t="s">
        <v>1831</v>
      </c>
    </row>
    <row r="603" spans="1:9" x14ac:dyDescent="0.2">
      <c r="A603" t="str">
        <f>"Z6D2F497A5"</f>
        <v>Z6D2F497A5</v>
      </c>
      <c r="B603" t="s">
        <v>9</v>
      </c>
      <c r="C603" t="s">
        <v>1833</v>
      </c>
      <c r="D603" t="s">
        <v>11</v>
      </c>
      <c r="E603" t="s">
        <v>1834</v>
      </c>
      <c r="F603" t="s">
        <v>1834</v>
      </c>
      <c r="G603" t="s">
        <v>1835</v>
      </c>
      <c r="H603" t="s">
        <v>1836</v>
      </c>
      <c r="I603" t="s">
        <v>1835</v>
      </c>
    </row>
    <row r="604" spans="1:9" x14ac:dyDescent="0.2">
      <c r="A604" t="str">
        <f>"ZE12EE0AEF"</f>
        <v>ZE12EE0AEF</v>
      </c>
      <c r="B604" t="s">
        <v>9</v>
      </c>
      <c r="C604" t="s">
        <v>1837</v>
      </c>
      <c r="D604" t="s">
        <v>11</v>
      </c>
      <c r="E604" t="s">
        <v>337</v>
      </c>
      <c r="F604" t="s">
        <v>337</v>
      </c>
      <c r="G604" t="s">
        <v>1838</v>
      </c>
      <c r="H604" t="s">
        <v>1839</v>
      </c>
    </row>
    <row r="605" spans="1:9" x14ac:dyDescent="0.2">
      <c r="A605" t="str">
        <f>"ZD42EE0A5F"</f>
        <v>ZD42EE0A5F</v>
      </c>
      <c r="B605" t="s">
        <v>9</v>
      </c>
      <c r="C605" t="s">
        <v>1837</v>
      </c>
      <c r="D605" t="s">
        <v>11</v>
      </c>
      <c r="E605" t="s">
        <v>337</v>
      </c>
      <c r="F605" t="s">
        <v>337</v>
      </c>
      <c r="G605" t="s">
        <v>991</v>
      </c>
      <c r="H605" t="s">
        <v>1839</v>
      </c>
    </row>
    <row r="606" spans="1:9" x14ac:dyDescent="0.2">
      <c r="A606" t="str">
        <f>"ZF22EE0A9D"</f>
        <v>ZF22EE0A9D</v>
      </c>
      <c r="B606" t="s">
        <v>9</v>
      </c>
      <c r="C606" t="s">
        <v>1837</v>
      </c>
      <c r="D606" t="s">
        <v>11</v>
      </c>
      <c r="E606" t="s">
        <v>337</v>
      </c>
      <c r="F606" t="s">
        <v>337</v>
      </c>
      <c r="G606" t="s">
        <v>721</v>
      </c>
      <c r="H606" t="s">
        <v>1839</v>
      </c>
    </row>
    <row r="607" spans="1:9" x14ac:dyDescent="0.2">
      <c r="A607" t="str">
        <f>"Z362EE09F2"</f>
        <v>Z362EE09F2</v>
      </c>
      <c r="B607" t="s">
        <v>9</v>
      </c>
      <c r="C607" t="s">
        <v>1837</v>
      </c>
      <c r="D607" t="s">
        <v>11</v>
      </c>
      <c r="E607" t="s">
        <v>337</v>
      </c>
      <c r="F607" t="s">
        <v>337</v>
      </c>
      <c r="G607" t="s">
        <v>1840</v>
      </c>
      <c r="H607" t="s">
        <v>1839</v>
      </c>
    </row>
    <row r="608" spans="1:9" x14ac:dyDescent="0.2">
      <c r="A608" t="str">
        <f>"Z362EE0BE8"</f>
        <v>Z362EE0BE8</v>
      </c>
      <c r="B608" t="s">
        <v>9</v>
      </c>
      <c r="C608" t="s">
        <v>1837</v>
      </c>
      <c r="D608" t="s">
        <v>11</v>
      </c>
      <c r="E608" t="s">
        <v>337</v>
      </c>
      <c r="F608" t="s">
        <v>337</v>
      </c>
      <c r="G608" t="s">
        <v>1112</v>
      </c>
      <c r="H608" t="s">
        <v>1839</v>
      </c>
    </row>
    <row r="609" spans="1:9" x14ac:dyDescent="0.2">
      <c r="A609" t="str">
        <f>"ZDE2EE0B1B"</f>
        <v>ZDE2EE0B1B</v>
      </c>
      <c r="B609" t="s">
        <v>9</v>
      </c>
      <c r="C609" t="s">
        <v>1837</v>
      </c>
      <c r="D609" t="s">
        <v>11</v>
      </c>
      <c r="E609" t="s">
        <v>337</v>
      </c>
      <c r="F609" t="s">
        <v>337</v>
      </c>
      <c r="G609" t="s">
        <v>1841</v>
      </c>
      <c r="H609" t="s">
        <v>1839</v>
      </c>
    </row>
    <row r="610" spans="1:9" x14ac:dyDescent="0.2">
      <c r="A610" t="str">
        <f>"Z912EF9DEA"</f>
        <v>Z912EF9DEA</v>
      </c>
      <c r="B610" t="s">
        <v>9</v>
      </c>
      <c r="C610" t="s">
        <v>1640</v>
      </c>
      <c r="D610" t="s">
        <v>11</v>
      </c>
      <c r="E610" t="s">
        <v>107</v>
      </c>
      <c r="F610" t="s">
        <v>107</v>
      </c>
      <c r="G610" t="s">
        <v>1842</v>
      </c>
      <c r="H610" t="s">
        <v>1843</v>
      </c>
    </row>
    <row r="611" spans="1:9" x14ac:dyDescent="0.2">
      <c r="A611" t="str">
        <f>"Z502EF9E0B"</f>
        <v>Z502EF9E0B</v>
      </c>
      <c r="B611" t="s">
        <v>9</v>
      </c>
      <c r="C611" t="s">
        <v>1640</v>
      </c>
      <c r="D611" t="s">
        <v>11</v>
      </c>
      <c r="E611" t="s">
        <v>107</v>
      </c>
      <c r="F611" t="s">
        <v>107</v>
      </c>
      <c r="G611" t="s">
        <v>671</v>
      </c>
      <c r="H611" t="s">
        <v>1843</v>
      </c>
    </row>
    <row r="612" spans="1:9" x14ac:dyDescent="0.2">
      <c r="A612" t="str">
        <f>"ZB32EF9E41"</f>
        <v>ZB32EF9E41</v>
      </c>
      <c r="B612" t="s">
        <v>9</v>
      </c>
      <c r="C612" t="s">
        <v>1640</v>
      </c>
      <c r="D612" t="s">
        <v>11</v>
      </c>
      <c r="E612" t="s">
        <v>107</v>
      </c>
      <c r="F612" t="s">
        <v>107</v>
      </c>
      <c r="G612" t="s">
        <v>437</v>
      </c>
      <c r="H612" t="s">
        <v>1843</v>
      </c>
    </row>
    <row r="613" spans="1:9" x14ac:dyDescent="0.2">
      <c r="A613" t="str">
        <f>"Z372EF9E2B"</f>
        <v>Z372EF9E2B</v>
      </c>
      <c r="B613" t="s">
        <v>9</v>
      </c>
      <c r="C613" t="s">
        <v>1844</v>
      </c>
      <c r="D613" t="s">
        <v>11</v>
      </c>
      <c r="E613" t="s">
        <v>1845</v>
      </c>
      <c r="F613" t="s">
        <v>1845</v>
      </c>
      <c r="G613" t="s">
        <v>111</v>
      </c>
      <c r="H613" t="s">
        <v>1846</v>
      </c>
      <c r="I613" t="s">
        <v>136</v>
      </c>
    </row>
    <row r="614" spans="1:9" x14ac:dyDescent="0.2">
      <c r="A614" t="str">
        <f>"Z372F1D5DC"</f>
        <v>Z372F1D5DC</v>
      </c>
      <c r="B614" t="s">
        <v>9</v>
      </c>
      <c r="C614" t="s">
        <v>1847</v>
      </c>
      <c r="D614" t="s">
        <v>11</v>
      </c>
      <c r="E614" t="s">
        <v>1848</v>
      </c>
      <c r="F614" t="s">
        <v>1848</v>
      </c>
      <c r="G614" t="s">
        <v>741</v>
      </c>
      <c r="H614" t="s">
        <v>1849</v>
      </c>
      <c r="I614" t="s">
        <v>741</v>
      </c>
    </row>
    <row r="615" spans="1:9" x14ac:dyDescent="0.2">
      <c r="A615" t="str">
        <f>"ZDD2F2029A"</f>
        <v>ZDD2F2029A</v>
      </c>
      <c r="B615" t="s">
        <v>9</v>
      </c>
      <c r="C615" t="s">
        <v>1850</v>
      </c>
      <c r="D615" t="s">
        <v>11</v>
      </c>
      <c r="E615" t="s">
        <v>1851</v>
      </c>
      <c r="F615" t="s">
        <v>1851</v>
      </c>
      <c r="G615" t="s">
        <v>1852</v>
      </c>
      <c r="H615" t="s">
        <v>1853</v>
      </c>
      <c r="I615" t="s">
        <v>1852</v>
      </c>
    </row>
    <row r="616" spans="1:9" x14ac:dyDescent="0.2">
      <c r="A616" t="str">
        <f>"Z572F0DF90"</f>
        <v>Z572F0DF90</v>
      </c>
      <c r="B616" t="s">
        <v>9</v>
      </c>
      <c r="C616" t="s">
        <v>1640</v>
      </c>
      <c r="D616" t="s">
        <v>11</v>
      </c>
      <c r="E616" t="s">
        <v>83</v>
      </c>
      <c r="F616" t="s">
        <v>83</v>
      </c>
      <c r="G616" t="s">
        <v>1854</v>
      </c>
      <c r="H616" t="s">
        <v>1855</v>
      </c>
    </row>
    <row r="617" spans="1:9" x14ac:dyDescent="0.2">
      <c r="A617" t="str">
        <f>"Z752F0DFCE"</f>
        <v>Z752F0DFCE</v>
      </c>
      <c r="B617" t="s">
        <v>9</v>
      </c>
      <c r="C617" t="s">
        <v>1640</v>
      </c>
      <c r="D617" t="s">
        <v>11</v>
      </c>
      <c r="E617" t="s">
        <v>83</v>
      </c>
      <c r="F617" t="s">
        <v>83</v>
      </c>
      <c r="G617" t="s">
        <v>1140</v>
      </c>
      <c r="H617" t="s">
        <v>1855</v>
      </c>
    </row>
    <row r="618" spans="1:9" x14ac:dyDescent="0.2">
      <c r="A618" t="str">
        <f>"Z472F0DF2C"</f>
        <v>Z472F0DF2C</v>
      </c>
      <c r="B618" t="s">
        <v>9</v>
      </c>
      <c r="C618" t="s">
        <v>1640</v>
      </c>
      <c r="D618" t="s">
        <v>11</v>
      </c>
      <c r="E618" t="s">
        <v>449</v>
      </c>
      <c r="F618" t="s">
        <v>449</v>
      </c>
      <c r="G618" t="s">
        <v>1613</v>
      </c>
      <c r="H618" t="s">
        <v>1855</v>
      </c>
    </row>
    <row r="619" spans="1:9" x14ac:dyDescent="0.2">
      <c r="A619" t="str">
        <f>"Z062F0DF4D"</f>
        <v>Z062F0DF4D</v>
      </c>
      <c r="B619" t="s">
        <v>9</v>
      </c>
      <c r="C619" t="s">
        <v>1640</v>
      </c>
      <c r="D619" t="s">
        <v>11</v>
      </c>
      <c r="E619" t="s">
        <v>449</v>
      </c>
      <c r="F619" t="s">
        <v>449</v>
      </c>
      <c r="G619" t="s">
        <v>1856</v>
      </c>
      <c r="H619" t="s">
        <v>1855</v>
      </c>
    </row>
    <row r="620" spans="1:9" x14ac:dyDescent="0.2">
      <c r="A620" t="str">
        <f>"ZE92F0DFB2"</f>
        <v>ZE92F0DFB2</v>
      </c>
      <c r="B620" t="s">
        <v>9</v>
      </c>
      <c r="C620" t="s">
        <v>1640</v>
      </c>
      <c r="D620" t="s">
        <v>11</v>
      </c>
      <c r="E620" t="s">
        <v>83</v>
      </c>
      <c r="F620" t="s">
        <v>83</v>
      </c>
      <c r="G620" t="s">
        <v>1857</v>
      </c>
      <c r="H620" t="s">
        <v>1855</v>
      </c>
    </row>
    <row r="621" spans="1:9" x14ac:dyDescent="0.2">
      <c r="A621" t="str">
        <f>"Z482F0DF71"</f>
        <v>Z482F0DF71</v>
      </c>
      <c r="B621" t="s">
        <v>9</v>
      </c>
      <c r="C621" t="s">
        <v>1640</v>
      </c>
      <c r="D621" t="s">
        <v>11</v>
      </c>
      <c r="E621" t="s">
        <v>340</v>
      </c>
      <c r="F621" t="s">
        <v>340</v>
      </c>
      <c r="G621" t="s">
        <v>102</v>
      </c>
      <c r="H621" t="s">
        <v>1855</v>
      </c>
    </row>
    <row r="622" spans="1:9" x14ac:dyDescent="0.2">
      <c r="A622" t="str">
        <f>"Z022DBE337"</f>
        <v>Z022DBE337</v>
      </c>
      <c r="B622" t="s">
        <v>9</v>
      </c>
      <c r="C622" t="s">
        <v>1858</v>
      </c>
      <c r="D622" t="s">
        <v>11</v>
      </c>
      <c r="E622" t="s">
        <v>1859</v>
      </c>
      <c r="F622" t="s">
        <v>1859</v>
      </c>
      <c r="G622" t="s">
        <v>1860</v>
      </c>
      <c r="H622" t="s">
        <v>1861</v>
      </c>
      <c r="I622" t="s">
        <v>1860</v>
      </c>
    </row>
    <row r="623" spans="1:9" x14ac:dyDescent="0.2">
      <c r="A623" t="str">
        <f>"Z8E2EE8F7A"</f>
        <v>Z8E2EE8F7A</v>
      </c>
      <c r="B623" t="s">
        <v>9</v>
      </c>
      <c r="C623" t="s">
        <v>1862</v>
      </c>
      <c r="D623" t="s">
        <v>11</v>
      </c>
      <c r="E623" t="s">
        <v>1777</v>
      </c>
      <c r="F623" t="s">
        <v>1777</v>
      </c>
      <c r="G623" t="s">
        <v>1863</v>
      </c>
      <c r="H623" t="s">
        <v>1864</v>
      </c>
      <c r="I623" t="s">
        <v>323</v>
      </c>
    </row>
    <row r="624" spans="1:9" x14ac:dyDescent="0.2">
      <c r="A624" t="str">
        <f>"Z522EF9D9A"</f>
        <v>Z522EF9D9A</v>
      </c>
      <c r="B624" t="s">
        <v>9</v>
      </c>
      <c r="C624" t="s">
        <v>1640</v>
      </c>
      <c r="D624" t="s">
        <v>11</v>
      </c>
      <c r="E624" t="s">
        <v>1554</v>
      </c>
      <c r="F624" t="s">
        <v>1554</v>
      </c>
      <c r="G624" t="s">
        <v>102</v>
      </c>
      <c r="H624" t="s">
        <v>1865</v>
      </c>
    </row>
    <row r="625" spans="1:9" x14ac:dyDescent="0.2">
      <c r="A625" t="str">
        <f>"ZAF2EF9D2D"</f>
        <v>ZAF2EF9D2D</v>
      </c>
      <c r="B625" t="s">
        <v>9</v>
      </c>
      <c r="C625" t="s">
        <v>1640</v>
      </c>
      <c r="D625" t="s">
        <v>11</v>
      </c>
      <c r="E625" t="s">
        <v>83</v>
      </c>
      <c r="F625" t="s">
        <v>83</v>
      </c>
      <c r="G625" t="s">
        <v>1866</v>
      </c>
      <c r="H625" t="s">
        <v>1865</v>
      </c>
    </row>
    <row r="626" spans="1:9" x14ac:dyDescent="0.2">
      <c r="A626" t="str">
        <f>"ZDF2EF9390"</f>
        <v>ZDF2EF9390</v>
      </c>
      <c r="B626" t="s">
        <v>9</v>
      </c>
      <c r="C626" t="s">
        <v>1640</v>
      </c>
      <c r="D626" t="s">
        <v>11</v>
      </c>
      <c r="E626" t="s">
        <v>910</v>
      </c>
      <c r="F626" t="s">
        <v>910</v>
      </c>
      <c r="G626" t="s">
        <v>1651</v>
      </c>
      <c r="H626" t="s">
        <v>1865</v>
      </c>
    </row>
    <row r="627" spans="1:9" x14ac:dyDescent="0.2">
      <c r="A627" t="str">
        <f>"ZBC2EF9DBD"</f>
        <v>ZBC2EF9DBD</v>
      </c>
      <c r="B627" t="s">
        <v>9</v>
      </c>
      <c r="C627" t="s">
        <v>1640</v>
      </c>
      <c r="D627" t="s">
        <v>11</v>
      </c>
      <c r="E627" t="s">
        <v>1554</v>
      </c>
      <c r="F627" t="s">
        <v>1554</v>
      </c>
      <c r="G627" t="s">
        <v>1867</v>
      </c>
      <c r="H627" t="s">
        <v>1865</v>
      </c>
    </row>
    <row r="628" spans="1:9" x14ac:dyDescent="0.2">
      <c r="A628" t="str">
        <f>"ZAB2EF9D14"</f>
        <v>ZAB2EF9D14</v>
      </c>
      <c r="B628" t="s">
        <v>9</v>
      </c>
      <c r="C628" t="s">
        <v>1640</v>
      </c>
      <c r="D628" t="s">
        <v>11</v>
      </c>
      <c r="E628" t="s">
        <v>83</v>
      </c>
      <c r="F628" t="s">
        <v>83</v>
      </c>
      <c r="G628" t="s">
        <v>1868</v>
      </c>
      <c r="H628" t="s">
        <v>1865</v>
      </c>
    </row>
    <row r="629" spans="1:9" x14ac:dyDescent="0.2">
      <c r="A629" t="str">
        <f>"Z382EF9D75"</f>
        <v>Z382EF9D75</v>
      </c>
      <c r="B629" t="s">
        <v>9</v>
      </c>
      <c r="C629" t="s">
        <v>1640</v>
      </c>
      <c r="D629" t="s">
        <v>11</v>
      </c>
      <c r="E629" t="s">
        <v>328</v>
      </c>
      <c r="F629" t="s">
        <v>328</v>
      </c>
      <c r="G629" t="s">
        <v>1140</v>
      </c>
      <c r="H629" t="s">
        <v>1865</v>
      </c>
    </row>
    <row r="630" spans="1:9" x14ac:dyDescent="0.2">
      <c r="A630" t="str">
        <f>"Z552EEB60A"</f>
        <v>Z552EEB60A</v>
      </c>
      <c r="B630" t="s">
        <v>9</v>
      </c>
      <c r="C630" t="s">
        <v>1869</v>
      </c>
      <c r="D630" t="s">
        <v>11</v>
      </c>
      <c r="E630" t="s">
        <v>1802</v>
      </c>
      <c r="F630" t="s">
        <v>1802</v>
      </c>
      <c r="G630" t="s">
        <v>542</v>
      </c>
      <c r="H630" t="s">
        <v>1870</v>
      </c>
      <c r="I630" t="s">
        <v>542</v>
      </c>
    </row>
    <row r="631" spans="1:9" x14ac:dyDescent="0.2">
      <c r="A631" t="str">
        <f>"Z882EE097F"</f>
        <v>Z882EE097F</v>
      </c>
      <c r="B631" t="s">
        <v>9</v>
      </c>
      <c r="C631" t="s">
        <v>1640</v>
      </c>
      <c r="D631" t="s">
        <v>11</v>
      </c>
      <c r="E631" t="s">
        <v>337</v>
      </c>
      <c r="F631" t="s">
        <v>337</v>
      </c>
      <c r="G631" t="s">
        <v>1871</v>
      </c>
      <c r="H631" t="s">
        <v>1872</v>
      </c>
    </row>
    <row r="632" spans="1:9" x14ac:dyDescent="0.2">
      <c r="A632" t="str">
        <f>"Z502ECC398"</f>
        <v>Z502ECC398</v>
      </c>
      <c r="B632" t="s">
        <v>9</v>
      </c>
      <c r="C632" t="s">
        <v>1873</v>
      </c>
      <c r="D632" t="s">
        <v>11</v>
      </c>
      <c r="E632" t="s">
        <v>413</v>
      </c>
      <c r="F632" t="s">
        <v>413</v>
      </c>
      <c r="G632" t="s">
        <v>414</v>
      </c>
      <c r="H632" t="s">
        <v>1874</v>
      </c>
      <c r="I632" t="s">
        <v>414</v>
      </c>
    </row>
    <row r="633" spans="1:9" x14ac:dyDescent="0.2">
      <c r="A633" t="str">
        <f>"83332141BD"</f>
        <v>83332141BD</v>
      </c>
      <c r="B633" t="s">
        <v>9</v>
      </c>
      <c r="C633" t="s">
        <v>1875</v>
      </c>
      <c r="D633" t="s">
        <v>58</v>
      </c>
      <c r="E633" t="s">
        <v>1876</v>
      </c>
      <c r="F633" t="s">
        <v>1877</v>
      </c>
      <c r="G633" t="s">
        <v>1878</v>
      </c>
      <c r="H633" t="s">
        <v>1879</v>
      </c>
      <c r="I633" t="s">
        <v>1878</v>
      </c>
    </row>
    <row r="634" spans="1:9" x14ac:dyDescent="0.2">
      <c r="A634" t="str">
        <f>"Z272ECC354"</f>
        <v>Z272ECC354</v>
      </c>
      <c r="B634" t="s">
        <v>9</v>
      </c>
      <c r="C634" t="s">
        <v>1880</v>
      </c>
      <c r="D634" t="s">
        <v>11</v>
      </c>
      <c r="E634" t="s">
        <v>1881</v>
      </c>
      <c r="F634" t="s">
        <v>1881</v>
      </c>
      <c r="G634" t="s">
        <v>105</v>
      </c>
      <c r="H634" t="s">
        <v>1882</v>
      </c>
    </row>
    <row r="635" spans="1:9" x14ac:dyDescent="0.2">
      <c r="A635" t="str">
        <f>"ZA82E8D3DC"</f>
        <v>ZA82E8D3DC</v>
      </c>
      <c r="B635" t="s">
        <v>9</v>
      </c>
      <c r="C635" t="s">
        <v>1883</v>
      </c>
      <c r="D635" t="s">
        <v>11</v>
      </c>
      <c r="E635" t="s">
        <v>647</v>
      </c>
      <c r="F635" t="s">
        <v>647</v>
      </c>
      <c r="G635" t="s">
        <v>1884</v>
      </c>
      <c r="H635" t="s">
        <v>1882</v>
      </c>
      <c r="I635" t="s">
        <v>1885</v>
      </c>
    </row>
    <row r="636" spans="1:9" x14ac:dyDescent="0.2">
      <c r="A636" t="str">
        <f>"Z112EA3068"</f>
        <v>Z112EA3068</v>
      </c>
      <c r="B636" t="s">
        <v>9</v>
      </c>
      <c r="C636" t="s">
        <v>1886</v>
      </c>
      <c r="D636" t="s">
        <v>11</v>
      </c>
      <c r="E636" t="s">
        <v>674</v>
      </c>
      <c r="F636" t="s">
        <v>674</v>
      </c>
      <c r="G636" t="s">
        <v>1887</v>
      </c>
      <c r="H636" t="s">
        <v>1888</v>
      </c>
      <c r="I636" t="s">
        <v>1887</v>
      </c>
    </row>
    <row r="637" spans="1:9" x14ac:dyDescent="0.2">
      <c r="A637" t="str">
        <f>"Z4E2EA12C4"</f>
        <v>Z4E2EA12C4</v>
      </c>
      <c r="B637" t="s">
        <v>9</v>
      </c>
      <c r="C637" t="s">
        <v>1889</v>
      </c>
      <c r="D637" t="s">
        <v>11</v>
      </c>
      <c r="E637" t="s">
        <v>1890</v>
      </c>
      <c r="F637" t="s">
        <v>1890</v>
      </c>
      <c r="G637" t="s">
        <v>1891</v>
      </c>
      <c r="H637" t="s">
        <v>1888</v>
      </c>
      <c r="I637" t="s">
        <v>1891</v>
      </c>
    </row>
    <row r="638" spans="1:9" x14ac:dyDescent="0.2">
      <c r="A638" t="str">
        <f>"Z5A2EA140A"</f>
        <v>Z5A2EA140A</v>
      </c>
      <c r="B638" t="s">
        <v>9</v>
      </c>
      <c r="C638" t="s">
        <v>1892</v>
      </c>
      <c r="D638" t="s">
        <v>11</v>
      </c>
      <c r="E638" t="s">
        <v>1890</v>
      </c>
      <c r="F638" t="s">
        <v>1890</v>
      </c>
      <c r="G638" t="s">
        <v>1893</v>
      </c>
      <c r="H638" t="s">
        <v>1888</v>
      </c>
      <c r="I638" t="s">
        <v>1893</v>
      </c>
    </row>
    <row r="639" spans="1:9" x14ac:dyDescent="0.2">
      <c r="A639" t="str">
        <f>"8645453582"</f>
        <v>8645453582</v>
      </c>
      <c r="B639" t="s">
        <v>9</v>
      </c>
      <c r="C639" t="s">
        <v>1894</v>
      </c>
      <c r="D639" t="s">
        <v>11</v>
      </c>
      <c r="E639" t="s">
        <v>1269</v>
      </c>
      <c r="F639" t="s">
        <v>1269</v>
      </c>
      <c r="G639" t="s">
        <v>1895</v>
      </c>
      <c r="H639" t="s">
        <v>1896</v>
      </c>
      <c r="I639" t="s">
        <v>1895</v>
      </c>
    </row>
    <row r="640" spans="1:9" x14ac:dyDescent="0.2">
      <c r="A640" t="str">
        <f>"Z902E62201"</f>
        <v>Z902E62201</v>
      </c>
      <c r="B640" t="s">
        <v>9</v>
      </c>
      <c r="C640" t="s">
        <v>1897</v>
      </c>
      <c r="D640" t="s">
        <v>11</v>
      </c>
      <c r="E640" t="s">
        <v>1898</v>
      </c>
      <c r="F640" t="s">
        <v>1898</v>
      </c>
      <c r="G640" t="s">
        <v>999</v>
      </c>
      <c r="H640" t="s">
        <v>1899</v>
      </c>
      <c r="I640" t="s">
        <v>1727</v>
      </c>
    </row>
    <row r="641" spans="1:9" x14ac:dyDescent="0.2">
      <c r="A641" t="str">
        <f>"ZBF2E45616"</f>
        <v>ZBF2E45616</v>
      </c>
      <c r="B641" t="s">
        <v>9</v>
      </c>
      <c r="C641" t="s">
        <v>1900</v>
      </c>
      <c r="D641" t="s">
        <v>37</v>
      </c>
      <c r="E641" t="s">
        <v>1901</v>
      </c>
      <c r="F641" t="s">
        <v>1901</v>
      </c>
      <c r="G641" t="s">
        <v>1902</v>
      </c>
      <c r="H641" t="s">
        <v>1903</v>
      </c>
      <c r="I641" t="s">
        <v>1902</v>
      </c>
    </row>
    <row r="642" spans="1:9" x14ac:dyDescent="0.2">
      <c r="A642" t="str">
        <f>"8441768F51"</f>
        <v>8441768F51</v>
      </c>
      <c r="B642" t="s">
        <v>9</v>
      </c>
      <c r="C642" t="s">
        <v>1904</v>
      </c>
      <c r="D642" t="s">
        <v>11</v>
      </c>
      <c r="E642" t="s">
        <v>929</v>
      </c>
      <c r="F642" t="s">
        <v>929</v>
      </c>
      <c r="G642" t="s">
        <v>1905</v>
      </c>
      <c r="H642" t="s">
        <v>1906</v>
      </c>
      <c r="I642" t="s">
        <v>1907</v>
      </c>
    </row>
    <row r="643" spans="1:9" x14ac:dyDescent="0.2">
      <c r="A643" t="str">
        <f>"Z222E2C2F5"</f>
        <v>Z222E2C2F5</v>
      </c>
      <c r="B643" t="s">
        <v>9</v>
      </c>
      <c r="C643" t="s">
        <v>1908</v>
      </c>
      <c r="D643" t="s">
        <v>58</v>
      </c>
      <c r="E643" t="s">
        <v>110</v>
      </c>
      <c r="F643" t="s">
        <v>110</v>
      </c>
      <c r="G643" t="s">
        <v>1909</v>
      </c>
      <c r="H643" t="s">
        <v>1910</v>
      </c>
    </row>
    <row r="644" spans="1:9" x14ac:dyDescent="0.2">
      <c r="A644" t="str">
        <f>"ZA72E3A9EB"</f>
        <v>ZA72E3A9EB</v>
      </c>
      <c r="B644" t="s">
        <v>9</v>
      </c>
      <c r="C644" t="s">
        <v>1911</v>
      </c>
      <c r="D644" t="s">
        <v>11</v>
      </c>
      <c r="E644" t="s">
        <v>750</v>
      </c>
      <c r="F644" t="s">
        <v>750</v>
      </c>
      <c r="G644" t="s">
        <v>39</v>
      </c>
      <c r="H644" t="s">
        <v>1912</v>
      </c>
      <c r="I644" t="s">
        <v>1913</v>
      </c>
    </row>
    <row r="645" spans="1:9" x14ac:dyDescent="0.2">
      <c r="A645" t="str">
        <f>"Z6C2E1CC37"</f>
        <v>Z6C2E1CC37</v>
      </c>
      <c r="B645" t="s">
        <v>9</v>
      </c>
      <c r="C645" t="s">
        <v>1914</v>
      </c>
      <c r="D645" t="s">
        <v>11</v>
      </c>
      <c r="E645" t="s">
        <v>1523</v>
      </c>
      <c r="F645" t="s">
        <v>1523</v>
      </c>
      <c r="G645" t="s">
        <v>804</v>
      </c>
      <c r="H645" t="s">
        <v>1915</v>
      </c>
    </row>
    <row r="646" spans="1:9" x14ac:dyDescent="0.2">
      <c r="A646" t="str">
        <f>"Z552E170B7"</f>
        <v>Z552E170B7</v>
      </c>
      <c r="B646" t="s">
        <v>9</v>
      </c>
      <c r="C646" t="s">
        <v>1916</v>
      </c>
      <c r="D646" t="s">
        <v>37</v>
      </c>
      <c r="E646" t="s">
        <v>1917</v>
      </c>
      <c r="F646" t="s">
        <v>1917</v>
      </c>
      <c r="G646" t="s">
        <v>1918</v>
      </c>
      <c r="H646" t="s">
        <v>1919</v>
      </c>
    </row>
    <row r="647" spans="1:9" x14ac:dyDescent="0.2">
      <c r="A647" t="str">
        <f>"Z782DC2E29"</f>
        <v>Z782DC2E29</v>
      </c>
      <c r="B647" t="s">
        <v>9</v>
      </c>
      <c r="C647" t="s">
        <v>1920</v>
      </c>
      <c r="D647" t="s">
        <v>11</v>
      </c>
      <c r="E647" t="s">
        <v>432</v>
      </c>
      <c r="F647" t="s">
        <v>432</v>
      </c>
      <c r="G647" t="s">
        <v>880</v>
      </c>
      <c r="H647" t="s">
        <v>1921</v>
      </c>
      <c r="I647" t="s">
        <v>880</v>
      </c>
    </row>
    <row r="648" spans="1:9" x14ac:dyDescent="0.2">
      <c r="A648" t="str">
        <f>"ZCD2C0F84A"</f>
        <v>ZCD2C0F84A</v>
      </c>
      <c r="B648" t="s">
        <v>9</v>
      </c>
      <c r="C648" t="s">
        <v>1922</v>
      </c>
      <c r="D648" t="s">
        <v>11</v>
      </c>
      <c r="E648" t="s">
        <v>224</v>
      </c>
      <c r="F648" t="s">
        <v>224</v>
      </c>
      <c r="G648" t="s">
        <v>1923</v>
      </c>
      <c r="H648" t="s">
        <v>1924</v>
      </c>
      <c r="I648" t="s">
        <v>1925</v>
      </c>
    </row>
    <row r="649" spans="1:9" x14ac:dyDescent="0.2">
      <c r="A649" t="str">
        <f>"ZE12DC2D0C"</f>
        <v>ZE12DC2D0C</v>
      </c>
      <c r="B649" t="s">
        <v>9</v>
      </c>
      <c r="C649" t="s">
        <v>1926</v>
      </c>
      <c r="D649" t="s">
        <v>11</v>
      </c>
      <c r="E649" t="s">
        <v>973</v>
      </c>
      <c r="F649" t="s">
        <v>973</v>
      </c>
      <c r="G649" t="s">
        <v>880</v>
      </c>
      <c r="H649" t="s">
        <v>1927</v>
      </c>
      <c r="I649" t="s">
        <v>880</v>
      </c>
    </row>
    <row r="650" spans="1:9" x14ac:dyDescent="0.2">
      <c r="A650" t="str">
        <f>"Z9F2DC2FD9"</f>
        <v>Z9F2DC2FD9</v>
      </c>
      <c r="B650" t="s">
        <v>9</v>
      </c>
      <c r="C650" t="s">
        <v>1928</v>
      </c>
      <c r="D650" t="s">
        <v>11</v>
      </c>
      <c r="E650" t="s">
        <v>1929</v>
      </c>
      <c r="F650" t="s">
        <v>1929</v>
      </c>
      <c r="G650" t="s">
        <v>965</v>
      </c>
      <c r="H650" t="s">
        <v>1930</v>
      </c>
      <c r="I650" t="s">
        <v>965</v>
      </c>
    </row>
    <row r="651" spans="1:9" x14ac:dyDescent="0.2">
      <c r="A651" t="str">
        <f>"Z042DC3136"</f>
        <v>Z042DC3136</v>
      </c>
      <c r="B651" t="s">
        <v>9</v>
      </c>
      <c r="C651" t="s">
        <v>1931</v>
      </c>
      <c r="D651" t="s">
        <v>11</v>
      </c>
      <c r="E651" t="s">
        <v>191</v>
      </c>
      <c r="F651" t="s">
        <v>191</v>
      </c>
      <c r="G651" t="s">
        <v>1932</v>
      </c>
      <c r="H651" t="s">
        <v>1927</v>
      </c>
      <c r="I651" t="s">
        <v>1932</v>
      </c>
    </row>
    <row r="652" spans="1:9" x14ac:dyDescent="0.2">
      <c r="A652" t="str">
        <f>"Z032DC2EFB"</f>
        <v>Z032DC2EFB</v>
      </c>
      <c r="B652" t="s">
        <v>9</v>
      </c>
      <c r="C652" t="s">
        <v>1933</v>
      </c>
      <c r="D652" t="s">
        <v>11</v>
      </c>
      <c r="E652" t="s">
        <v>968</v>
      </c>
      <c r="F652" t="s">
        <v>968</v>
      </c>
      <c r="G652" t="s">
        <v>880</v>
      </c>
      <c r="H652" t="s">
        <v>1934</v>
      </c>
      <c r="I652" t="s">
        <v>880</v>
      </c>
    </row>
    <row r="653" spans="1:9" x14ac:dyDescent="0.2">
      <c r="A653" t="str">
        <f>"ZF12DC2F66"</f>
        <v>ZF12DC2F66</v>
      </c>
      <c r="B653" t="s">
        <v>9</v>
      </c>
      <c r="C653" t="s">
        <v>1935</v>
      </c>
      <c r="D653" t="s">
        <v>11</v>
      </c>
      <c r="E653" t="s">
        <v>956</v>
      </c>
      <c r="F653" t="s">
        <v>956</v>
      </c>
      <c r="G653" t="s">
        <v>1936</v>
      </c>
      <c r="H653" t="s">
        <v>1937</v>
      </c>
      <c r="I653" t="s">
        <v>1936</v>
      </c>
    </row>
    <row r="654" spans="1:9" x14ac:dyDescent="0.2">
      <c r="A654" t="str">
        <f>"ZA62DC2DD0"</f>
        <v>ZA62DC2DD0</v>
      </c>
      <c r="B654" t="s">
        <v>9</v>
      </c>
      <c r="C654" t="s">
        <v>1938</v>
      </c>
      <c r="D654" t="s">
        <v>11</v>
      </c>
      <c r="E654" t="s">
        <v>976</v>
      </c>
      <c r="F654" t="s">
        <v>976</v>
      </c>
      <c r="G654" t="s">
        <v>880</v>
      </c>
      <c r="H654" t="s">
        <v>1937</v>
      </c>
      <c r="I654" t="s">
        <v>880</v>
      </c>
    </row>
    <row r="655" spans="1:9" x14ac:dyDescent="0.2">
      <c r="A655" t="str">
        <f>"Z642DBFCA6"</f>
        <v>Z642DBFCA6</v>
      </c>
      <c r="B655" t="s">
        <v>9</v>
      </c>
      <c r="C655" t="s">
        <v>1939</v>
      </c>
      <c r="D655" t="s">
        <v>11</v>
      </c>
      <c r="E655" t="s">
        <v>985</v>
      </c>
      <c r="F655" t="s">
        <v>985</v>
      </c>
      <c r="G655" t="s">
        <v>880</v>
      </c>
      <c r="H655" t="s">
        <v>1940</v>
      </c>
      <c r="I655" t="s">
        <v>880</v>
      </c>
    </row>
    <row r="656" spans="1:9" x14ac:dyDescent="0.2">
      <c r="A656" t="str">
        <f>"Z892DBC2F8"</f>
        <v>Z892DBC2F8</v>
      </c>
      <c r="B656" t="s">
        <v>9</v>
      </c>
      <c r="C656" t="s">
        <v>1941</v>
      </c>
      <c r="D656" t="s">
        <v>11</v>
      </c>
      <c r="E656" t="s">
        <v>1051</v>
      </c>
      <c r="F656" t="s">
        <v>1051</v>
      </c>
      <c r="G656" t="s">
        <v>1942</v>
      </c>
      <c r="H656" t="s">
        <v>1943</v>
      </c>
      <c r="I656" t="s">
        <v>1944</v>
      </c>
    </row>
    <row r="657" spans="1:9" x14ac:dyDescent="0.2">
      <c r="A657" t="str">
        <f>"ZA42DA6B3D"</f>
        <v>ZA42DA6B3D</v>
      </c>
      <c r="B657" t="s">
        <v>9</v>
      </c>
      <c r="C657" t="s">
        <v>1945</v>
      </c>
      <c r="D657" t="s">
        <v>11</v>
      </c>
      <c r="E657" t="s">
        <v>1051</v>
      </c>
      <c r="F657" t="s">
        <v>1051</v>
      </c>
      <c r="G657" t="s">
        <v>1946</v>
      </c>
      <c r="H657" t="s">
        <v>1947</v>
      </c>
      <c r="I657" t="s">
        <v>1946</v>
      </c>
    </row>
    <row r="658" spans="1:9" x14ac:dyDescent="0.2">
      <c r="A658" t="str">
        <f>"ZC32DBBFF9"</f>
        <v>ZC32DBBFF9</v>
      </c>
      <c r="B658" t="s">
        <v>9</v>
      </c>
      <c r="C658" t="s">
        <v>1948</v>
      </c>
      <c r="D658" t="s">
        <v>58</v>
      </c>
      <c r="E658" t="s">
        <v>1603</v>
      </c>
      <c r="F658" t="s">
        <v>1603</v>
      </c>
      <c r="G658" t="s">
        <v>1949</v>
      </c>
      <c r="H658" t="s">
        <v>1950</v>
      </c>
      <c r="I658" t="s">
        <v>1949</v>
      </c>
    </row>
    <row r="659" spans="1:9" x14ac:dyDescent="0.2">
      <c r="A659" t="str">
        <f>"ZC32DAE554"</f>
        <v>ZC32DAE554</v>
      </c>
      <c r="B659" t="s">
        <v>9</v>
      </c>
      <c r="C659" t="s">
        <v>1951</v>
      </c>
      <c r="D659" t="s">
        <v>11</v>
      </c>
      <c r="E659" t="s">
        <v>38</v>
      </c>
      <c r="F659" t="s">
        <v>38</v>
      </c>
      <c r="G659" t="s">
        <v>1952</v>
      </c>
      <c r="H659" t="s">
        <v>1953</v>
      </c>
      <c r="I659" t="s">
        <v>1952</v>
      </c>
    </row>
    <row r="660" spans="1:9" x14ac:dyDescent="0.2">
      <c r="A660" t="str">
        <f>"Z202D93B03"</f>
        <v>Z202D93B03</v>
      </c>
      <c r="B660" t="s">
        <v>9</v>
      </c>
      <c r="C660" t="s">
        <v>1954</v>
      </c>
      <c r="D660" t="s">
        <v>11</v>
      </c>
      <c r="E660" t="s">
        <v>1955</v>
      </c>
      <c r="F660" t="s">
        <v>1955</v>
      </c>
      <c r="G660" t="s">
        <v>1956</v>
      </c>
      <c r="H660" t="s">
        <v>1957</v>
      </c>
      <c r="I660" t="s">
        <v>323</v>
      </c>
    </row>
    <row r="661" spans="1:9" x14ac:dyDescent="0.2">
      <c r="A661" t="str">
        <f>"ZCC2D7483B"</f>
        <v>ZCC2D7483B</v>
      </c>
      <c r="B661" t="s">
        <v>9</v>
      </c>
      <c r="C661" t="s">
        <v>1958</v>
      </c>
      <c r="D661" t="s">
        <v>11</v>
      </c>
      <c r="E661" t="s">
        <v>1959</v>
      </c>
      <c r="F661" t="s">
        <v>1959</v>
      </c>
      <c r="G661" t="s">
        <v>1960</v>
      </c>
      <c r="H661" t="s">
        <v>1961</v>
      </c>
      <c r="I661" t="s">
        <v>1960</v>
      </c>
    </row>
    <row r="662" spans="1:9" x14ac:dyDescent="0.2">
      <c r="A662" t="str">
        <f>"ZF12D4A8C7"</f>
        <v>ZF12D4A8C7</v>
      </c>
      <c r="B662" t="s">
        <v>9</v>
      </c>
      <c r="C662" t="s">
        <v>1962</v>
      </c>
      <c r="D662" t="s">
        <v>11</v>
      </c>
      <c r="E662" t="s">
        <v>1963</v>
      </c>
      <c r="F662" t="s">
        <v>1963</v>
      </c>
      <c r="G662" t="s">
        <v>1964</v>
      </c>
      <c r="H662" t="s">
        <v>1965</v>
      </c>
      <c r="I662" t="s">
        <v>1966</v>
      </c>
    </row>
    <row r="663" spans="1:9" x14ac:dyDescent="0.2">
      <c r="A663" t="str">
        <f>"ZA92D54FA9"</f>
        <v>ZA92D54FA9</v>
      </c>
      <c r="B663" t="s">
        <v>9</v>
      </c>
      <c r="C663" t="s">
        <v>1967</v>
      </c>
      <c r="D663" t="s">
        <v>11</v>
      </c>
      <c r="E663" t="s">
        <v>1664</v>
      </c>
      <c r="F663" t="s">
        <v>1664</v>
      </c>
      <c r="G663" t="s">
        <v>1968</v>
      </c>
      <c r="H663" t="s">
        <v>1969</v>
      </c>
      <c r="I663" t="s">
        <v>1968</v>
      </c>
    </row>
    <row r="664" spans="1:9" x14ac:dyDescent="0.2">
      <c r="A664" t="str">
        <f>"Z652D3A284"</f>
        <v>Z652D3A284</v>
      </c>
      <c r="B664" t="s">
        <v>9</v>
      </c>
      <c r="C664" t="s">
        <v>1970</v>
      </c>
      <c r="D664" t="s">
        <v>11</v>
      </c>
      <c r="E664" t="s">
        <v>83</v>
      </c>
      <c r="F664" t="s">
        <v>83</v>
      </c>
      <c r="G664" t="s">
        <v>1971</v>
      </c>
      <c r="H664" t="s">
        <v>1972</v>
      </c>
    </row>
    <row r="665" spans="1:9" x14ac:dyDescent="0.2">
      <c r="A665" t="str">
        <f>"ZF02D2E097"</f>
        <v>ZF02D2E097</v>
      </c>
      <c r="B665" t="s">
        <v>9</v>
      </c>
      <c r="C665" t="s">
        <v>1973</v>
      </c>
      <c r="D665" t="s">
        <v>11</v>
      </c>
      <c r="E665" t="s">
        <v>1767</v>
      </c>
      <c r="F665" t="s">
        <v>1767</v>
      </c>
      <c r="G665" t="s">
        <v>1974</v>
      </c>
      <c r="H665" t="s">
        <v>1975</v>
      </c>
      <c r="I665" t="s">
        <v>1974</v>
      </c>
    </row>
    <row r="666" spans="1:9" x14ac:dyDescent="0.2">
      <c r="A666" t="str">
        <f>"ZF92D2762F"</f>
        <v>ZF92D2762F</v>
      </c>
      <c r="B666" t="s">
        <v>9</v>
      </c>
      <c r="C666" t="s">
        <v>1640</v>
      </c>
      <c r="D666" t="s">
        <v>11</v>
      </c>
      <c r="E666" t="s">
        <v>626</v>
      </c>
      <c r="F666" t="s">
        <v>626</v>
      </c>
      <c r="G666" t="s">
        <v>1976</v>
      </c>
      <c r="H666" t="s">
        <v>1977</v>
      </c>
      <c r="I666" t="s">
        <v>1976</v>
      </c>
    </row>
    <row r="667" spans="1:9" x14ac:dyDescent="0.2">
      <c r="A667" t="str">
        <f>"ZE22CD8CE8"</f>
        <v>ZE22CD8CE8</v>
      </c>
      <c r="B667" t="s">
        <v>9</v>
      </c>
      <c r="C667" t="s">
        <v>1978</v>
      </c>
      <c r="D667" t="s">
        <v>11</v>
      </c>
      <c r="E667" t="s">
        <v>1979</v>
      </c>
      <c r="F667" t="s">
        <v>1979</v>
      </c>
      <c r="G667" t="s">
        <v>795</v>
      </c>
      <c r="H667" t="s">
        <v>1980</v>
      </c>
      <c r="I667" t="s">
        <v>795</v>
      </c>
    </row>
    <row r="668" spans="1:9" x14ac:dyDescent="0.2">
      <c r="A668" t="str">
        <f>"8225450013"</f>
        <v>8225450013</v>
      </c>
      <c r="B668" t="s">
        <v>9</v>
      </c>
      <c r="C668" t="s">
        <v>1981</v>
      </c>
      <c r="D668" t="s">
        <v>58</v>
      </c>
      <c r="E668" t="s">
        <v>1982</v>
      </c>
      <c r="F668" t="s">
        <v>1983</v>
      </c>
      <c r="G668" t="s">
        <v>323</v>
      </c>
      <c r="H668" t="s">
        <v>1984</v>
      </c>
      <c r="I668" t="s">
        <v>1985</v>
      </c>
    </row>
    <row r="669" spans="1:9" x14ac:dyDescent="0.2">
      <c r="A669" t="str">
        <f>"Z9E2CE7C71"</f>
        <v>Z9E2CE7C71</v>
      </c>
      <c r="B669" t="s">
        <v>9</v>
      </c>
      <c r="C669" t="s">
        <v>1986</v>
      </c>
      <c r="D669" t="s">
        <v>11</v>
      </c>
      <c r="E669" t="s">
        <v>425</v>
      </c>
      <c r="F669" t="s">
        <v>425</v>
      </c>
      <c r="G669" t="s">
        <v>1648</v>
      </c>
      <c r="H669" t="s">
        <v>1987</v>
      </c>
      <c r="I669" t="s">
        <v>1648</v>
      </c>
    </row>
    <row r="670" spans="1:9" x14ac:dyDescent="0.2">
      <c r="A670" t="str">
        <f>"Z422CADD9D"</f>
        <v>Z422CADD9D</v>
      </c>
      <c r="B670" t="s">
        <v>9</v>
      </c>
      <c r="C670" t="s">
        <v>1640</v>
      </c>
      <c r="D670" t="s">
        <v>11</v>
      </c>
      <c r="E670" t="s">
        <v>83</v>
      </c>
      <c r="F670" t="s">
        <v>83</v>
      </c>
      <c r="G670" t="s">
        <v>1988</v>
      </c>
      <c r="H670" t="s">
        <v>1989</v>
      </c>
    </row>
    <row r="671" spans="1:9" x14ac:dyDescent="0.2">
      <c r="A671" t="str">
        <f>"ZA82CADDA7"</f>
        <v>ZA82CADDA7</v>
      </c>
      <c r="B671" t="s">
        <v>9</v>
      </c>
      <c r="C671" t="s">
        <v>1640</v>
      </c>
      <c r="D671" t="s">
        <v>11</v>
      </c>
      <c r="E671" t="s">
        <v>340</v>
      </c>
      <c r="F671" t="s">
        <v>340</v>
      </c>
      <c r="G671" t="s">
        <v>1990</v>
      </c>
      <c r="H671" t="s">
        <v>1989</v>
      </c>
    </row>
    <row r="672" spans="1:9" x14ac:dyDescent="0.2">
      <c r="A672" t="str">
        <f>"Z542CA05DC"</f>
        <v>Z542CA05DC</v>
      </c>
      <c r="B672" t="s">
        <v>9</v>
      </c>
      <c r="C672" t="s">
        <v>1640</v>
      </c>
      <c r="D672" t="s">
        <v>11</v>
      </c>
      <c r="E672" t="s">
        <v>907</v>
      </c>
      <c r="F672" t="s">
        <v>907</v>
      </c>
      <c r="G672" t="s">
        <v>1991</v>
      </c>
      <c r="H672" t="s">
        <v>1992</v>
      </c>
    </row>
    <row r="673" spans="1:9" x14ac:dyDescent="0.2">
      <c r="A673" t="str">
        <f>"Z5C2C7FD6D"</f>
        <v>Z5C2C7FD6D</v>
      </c>
      <c r="B673" t="s">
        <v>9</v>
      </c>
      <c r="C673" t="s">
        <v>1993</v>
      </c>
      <c r="D673" t="s">
        <v>11</v>
      </c>
      <c r="E673" t="s">
        <v>1994</v>
      </c>
      <c r="F673" t="s">
        <v>1994</v>
      </c>
      <c r="G673" t="s">
        <v>991</v>
      </c>
      <c r="H673" t="s">
        <v>1995</v>
      </c>
      <c r="I673" t="s">
        <v>991</v>
      </c>
    </row>
    <row r="674" spans="1:9" x14ac:dyDescent="0.2">
      <c r="A674" t="str">
        <f>"Z272C762EF"</f>
        <v>Z272C762EF</v>
      </c>
      <c r="B674" t="s">
        <v>9</v>
      </c>
      <c r="C674" t="s">
        <v>1996</v>
      </c>
      <c r="D674" t="s">
        <v>11</v>
      </c>
      <c r="E674" t="s">
        <v>818</v>
      </c>
      <c r="F674" t="s">
        <v>818</v>
      </c>
      <c r="G674" t="s">
        <v>1997</v>
      </c>
      <c r="H674" t="s">
        <v>1998</v>
      </c>
      <c r="I674" t="s">
        <v>1997</v>
      </c>
    </row>
    <row r="675" spans="1:9" x14ac:dyDescent="0.2">
      <c r="A675" t="str">
        <f>"Z432C47399"</f>
        <v>Z432C47399</v>
      </c>
      <c r="B675" t="s">
        <v>9</v>
      </c>
      <c r="C675" t="s">
        <v>1999</v>
      </c>
      <c r="D675" t="s">
        <v>11</v>
      </c>
      <c r="E675" t="s">
        <v>2000</v>
      </c>
      <c r="F675" t="s">
        <v>2000</v>
      </c>
      <c r="G675" t="s">
        <v>2001</v>
      </c>
      <c r="H675" t="s">
        <v>2002</v>
      </c>
      <c r="I675" t="s">
        <v>2003</v>
      </c>
    </row>
    <row r="676" spans="1:9" x14ac:dyDescent="0.2">
      <c r="A676" t="str">
        <f>"Z022C61859"</f>
        <v>Z022C61859</v>
      </c>
      <c r="B676" t="s">
        <v>9</v>
      </c>
      <c r="C676" t="s">
        <v>2004</v>
      </c>
      <c r="D676" t="s">
        <v>11</v>
      </c>
      <c r="E676" t="s">
        <v>2005</v>
      </c>
      <c r="F676" t="s">
        <v>2006</v>
      </c>
      <c r="G676" t="s">
        <v>2007</v>
      </c>
      <c r="H676" t="s">
        <v>2008</v>
      </c>
      <c r="I676" t="s">
        <v>323</v>
      </c>
    </row>
    <row r="677" spans="1:9" x14ac:dyDescent="0.2">
      <c r="A677" t="str">
        <f>"Z5F2C53E42"</f>
        <v>Z5F2C53E42</v>
      </c>
      <c r="B677" t="s">
        <v>9</v>
      </c>
      <c r="C677" t="s">
        <v>2009</v>
      </c>
      <c r="D677" t="s">
        <v>11</v>
      </c>
      <c r="E677" t="s">
        <v>1792</v>
      </c>
      <c r="F677" t="s">
        <v>1792</v>
      </c>
      <c r="G677" t="s">
        <v>1811</v>
      </c>
      <c r="H677" t="s">
        <v>2010</v>
      </c>
      <c r="I677" t="s">
        <v>1811</v>
      </c>
    </row>
    <row r="678" spans="1:9" x14ac:dyDescent="0.2">
      <c r="A678" t="str">
        <f>"81736125FF"</f>
        <v>81736125FF</v>
      </c>
      <c r="B678" t="s">
        <v>9</v>
      </c>
      <c r="C678" t="s">
        <v>2011</v>
      </c>
      <c r="D678" t="s">
        <v>37</v>
      </c>
      <c r="E678" t="s">
        <v>1629</v>
      </c>
      <c r="F678" t="s">
        <v>1629</v>
      </c>
      <c r="G678" t="s">
        <v>2012</v>
      </c>
      <c r="H678" t="s">
        <v>2013</v>
      </c>
      <c r="I678" t="s">
        <v>2014</v>
      </c>
    </row>
    <row r="679" spans="1:9" x14ac:dyDescent="0.2">
      <c r="A679" t="str">
        <f>"8131117A02"</f>
        <v>8131117A02</v>
      </c>
      <c r="B679" t="s">
        <v>9</v>
      </c>
      <c r="C679" t="s">
        <v>2015</v>
      </c>
      <c r="D679" t="s">
        <v>37</v>
      </c>
      <c r="E679" t="s">
        <v>1636</v>
      </c>
      <c r="F679" t="s">
        <v>1636</v>
      </c>
      <c r="G679" t="s">
        <v>2016</v>
      </c>
      <c r="H679" t="s">
        <v>2013</v>
      </c>
      <c r="I679" t="s">
        <v>2017</v>
      </c>
    </row>
    <row r="680" spans="1:9" x14ac:dyDescent="0.2">
      <c r="A680" t="str">
        <f>"Z4C2C3C58A"</f>
        <v>Z4C2C3C58A</v>
      </c>
      <c r="B680" t="s">
        <v>9</v>
      </c>
      <c r="C680" t="s">
        <v>2018</v>
      </c>
      <c r="D680" t="s">
        <v>11</v>
      </c>
      <c r="E680" t="s">
        <v>439</v>
      </c>
      <c r="F680" t="s">
        <v>439</v>
      </c>
      <c r="G680" t="s">
        <v>2019</v>
      </c>
      <c r="H680" t="s">
        <v>2020</v>
      </c>
      <c r="I680" t="s">
        <v>2021</v>
      </c>
    </row>
    <row r="681" spans="1:9" x14ac:dyDescent="0.2">
      <c r="A681" t="str">
        <f>"Z092BBD0B2"</f>
        <v>Z092BBD0B2</v>
      </c>
      <c r="B681" t="s">
        <v>9</v>
      </c>
      <c r="C681" t="s">
        <v>2022</v>
      </c>
      <c r="D681" t="s">
        <v>11</v>
      </c>
      <c r="E681" t="s">
        <v>2023</v>
      </c>
      <c r="F681" t="s">
        <v>2023</v>
      </c>
      <c r="G681" t="s">
        <v>2024</v>
      </c>
      <c r="H681" t="s">
        <v>2025</v>
      </c>
      <c r="I681" t="s">
        <v>2026</v>
      </c>
    </row>
    <row r="682" spans="1:9" x14ac:dyDescent="0.2">
      <c r="A682" t="str">
        <f>"Z022C13B27"</f>
        <v>Z022C13B27</v>
      </c>
      <c r="B682" t="s">
        <v>9</v>
      </c>
      <c r="C682" t="s">
        <v>2027</v>
      </c>
      <c r="D682" t="s">
        <v>11</v>
      </c>
      <c r="E682" t="s">
        <v>2028</v>
      </c>
      <c r="F682" t="s">
        <v>2028</v>
      </c>
      <c r="G682" t="s">
        <v>2029</v>
      </c>
      <c r="H682" t="s">
        <v>2030</v>
      </c>
      <c r="I682" t="s">
        <v>2029</v>
      </c>
    </row>
    <row r="683" spans="1:9" x14ac:dyDescent="0.2">
      <c r="A683" t="str">
        <f>"Z532C2007D"</f>
        <v>Z532C2007D</v>
      </c>
      <c r="B683" t="s">
        <v>9</v>
      </c>
      <c r="C683" t="s">
        <v>1640</v>
      </c>
      <c r="D683" t="s">
        <v>11</v>
      </c>
      <c r="E683" t="s">
        <v>52</v>
      </c>
      <c r="F683" t="s">
        <v>52</v>
      </c>
      <c r="G683" t="s">
        <v>2031</v>
      </c>
      <c r="H683" t="s">
        <v>2032</v>
      </c>
      <c r="I683" t="s">
        <v>2033</v>
      </c>
    </row>
    <row r="684" spans="1:9" x14ac:dyDescent="0.2">
      <c r="A684" t="str">
        <f>"804369289E"</f>
        <v>804369289E</v>
      </c>
      <c r="B684" t="s">
        <v>9</v>
      </c>
      <c r="C684" t="s">
        <v>2034</v>
      </c>
      <c r="D684" t="s">
        <v>37</v>
      </c>
      <c r="E684" t="s">
        <v>505</v>
      </c>
      <c r="F684" t="s">
        <v>505</v>
      </c>
      <c r="G684" t="s">
        <v>2035</v>
      </c>
      <c r="H684" t="s">
        <v>2036</v>
      </c>
      <c r="I684" t="s">
        <v>2037</v>
      </c>
    </row>
    <row r="685" spans="1:9" x14ac:dyDescent="0.2">
      <c r="A685" t="str">
        <f>"Z252BE9A2E"</f>
        <v>Z252BE9A2E</v>
      </c>
      <c r="B685" t="s">
        <v>9</v>
      </c>
      <c r="C685" t="s">
        <v>2038</v>
      </c>
      <c r="D685" t="s">
        <v>11</v>
      </c>
      <c r="E685" t="s">
        <v>2039</v>
      </c>
      <c r="F685" t="s">
        <v>2039</v>
      </c>
      <c r="G685" t="s">
        <v>804</v>
      </c>
      <c r="H685" t="s">
        <v>2040</v>
      </c>
      <c r="I685" t="s">
        <v>804</v>
      </c>
    </row>
    <row r="686" spans="1:9" x14ac:dyDescent="0.2">
      <c r="A686" t="str">
        <f>"Z3D2BCA1D3"</f>
        <v>Z3D2BCA1D3</v>
      </c>
      <c r="B686" t="s">
        <v>9</v>
      </c>
      <c r="C686" t="s">
        <v>1640</v>
      </c>
      <c r="D686" t="s">
        <v>11</v>
      </c>
      <c r="E686" t="s">
        <v>2041</v>
      </c>
      <c r="F686" t="s">
        <v>2041</v>
      </c>
      <c r="G686" t="s">
        <v>2042</v>
      </c>
      <c r="H686" t="s">
        <v>2043</v>
      </c>
    </row>
    <row r="687" spans="1:9" x14ac:dyDescent="0.2">
      <c r="A687" t="str">
        <f>"ZBA2BAF1CB"</f>
        <v>ZBA2BAF1CB</v>
      </c>
      <c r="B687" t="s">
        <v>9</v>
      </c>
      <c r="C687" t="s">
        <v>2044</v>
      </c>
      <c r="D687" t="s">
        <v>11</v>
      </c>
      <c r="E687" t="s">
        <v>1753</v>
      </c>
      <c r="F687" t="s">
        <v>1753</v>
      </c>
      <c r="G687" t="s">
        <v>2045</v>
      </c>
      <c r="H687" t="s">
        <v>2046</v>
      </c>
      <c r="I687" t="s">
        <v>2045</v>
      </c>
    </row>
    <row r="688" spans="1:9" x14ac:dyDescent="0.2">
      <c r="A688" t="str">
        <f>"ZE42BAD6E0"</f>
        <v>ZE42BAD6E0</v>
      </c>
      <c r="B688" t="s">
        <v>9</v>
      </c>
      <c r="C688" t="s">
        <v>1640</v>
      </c>
      <c r="D688" t="s">
        <v>11</v>
      </c>
      <c r="E688" t="s">
        <v>907</v>
      </c>
      <c r="F688" t="s">
        <v>907</v>
      </c>
      <c r="G688" t="s">
        <v>2047</v>
      </c>
      <c r="H688" t="s">
        <v>2048</v>
      </c>
    </row>
    <row r="689" spans="1:9" x14ac:dyDescent="0.2">
      <c r="A689" t="str">
        <f>"Z552B97695"</f>
        <v>Z552B97695</v>
      </c>
      <c r="B689" t="s">
        <v>9</v>
      </c>
      <c r="C689" t="s">
        <v>2049</v>
      </c>
      <c r="D689" t="s">
        <v>11</v>
      </c>
      <c r="E689" t="s">
        <v>2050</v>
      </c>
      <c r="F689" t="s">
        <v>2050</v>
      </c>
      <c r="G689" t="s">
        <v>2029</v>
      </c>
      <c r="H689" t="s">
        <v>2051</v>
      </c>
      <c r="I689" t="s">
        <v>1278</v>
      </c>
    </row>
    <row r="690" spans="1:9" x14ac:dyDescent="0.2">
      <c r="A690" t="str">
        <f>"ZE72E6705C"</f>
        <v>ZE72E6705C</v>
      </c>
      <c r="B690" t="s">
        <v>9</v>
      </c>
      <c r="C690" t="s">
        <v>2052</v>
      </c>
      <c r="D690" t="s">
        <v>11</v>
      </c>
      <c r="E690" t="s">
        <v>710</v>
      </c>
      <c r="F690" t="s">
        <v>710</v>
      </c>
      <c r="G690" t="s">
        <v>2053</v>
      </c>
      <c r="H690" t="s">
        <v>2054</v>
      </c>
      <c r="I690" t="s">
        <v>2053</v>
      </c>
    </row>
    <row r="691" spans="1:9" x14ac:dyDescent="0.2">
      <c r="A691" t="str">
        <f>"7970017A15"</f>
        <v>7970017A15</v>
      </c>
      <c r="B691" t="s">
        <v>9</v>
      </c>
      <c r="C691" t="s">
        <v>2055</v>
      </c>
      <c r="D691" t="s">
        <v>58</v>
      </c>
      <c r="E691" t="s">
        <v>929</v>
      </c>
      <c r="F691" t="s">
        <v>929</v>
      </c>
      <c r="G691" t="s">
        <v>2056</v>
      </c>
      <c r="H691" t="s">
        <v>2057</v>
      </c>
      <c r="I691" t="s">
        <v>2058</v>
      </c>
    </row>
    <row r="692" spans="1:9" x14ac:dyDescent="0.2">
      <c r="A692" t="str">
        <f>"Z552F8359A"</f>
        <v>Z552F8359A</v>
      </c>
      <c r="B692" t="s">
        <v>9</v>
      </c>
      <c r="C692" t="s">
        <v>1640</v>
      </c>
      <c r="D692" t="s">
        <v>11</v>
      </c>
      <c r="E692" t="s">
        <v>602</v>
      </c>
      <c r="F692" t="s">
        <v>602</v>
      </c>
      <c r="G692" t="s">
        <v>2059</v>
      </c>
      <c r="H692" t="s">
        <v>2060</v>
      </c>
    </row>
    <row r="693" spans="1:9" x14ac:dyDescent="0.2">
      <c r="A693" t="str">
        <f>"Z23287ACBD"</f>
        <v>Z23287ACBD</v>
      </c>
      <c r="B693" t="s">
        <v>9</v>
      </c>
      <c r="C693" t="s">
        <v>2061</v>
      </c>
      <c r="D693" t="s">
        <v>37</v>
      </c>
      <c r="E693" t="s">
        <v>1636</v>
      </c>
      <c r="F693" t="s">
        <v>1636</v>
      </c>
      <c r="G693" t="s">
        <v>2062</v>
      </c>
      <c r="H693" t="s">
        <v>2063</v>
      </c>
      <c r="I693" t="s">
        <v>2064</v>
      </c>
    </row>
    <row r="694" spans="1:9" x14ac:dyDescent="0.2">
      <c r="A694" t="str">
        <f>"Z3A28BD5D8"</f>
        <v>Z3A28BD5D8</v>
      </c>
      <c r="B694" t="s">
        <v>9</v>
      </c>
      <c r="C694" t="s">
        <v>2065</v>
      </c>
      <c r="D694" t="s">
        <v>11</v>
      </c>
      <c r="E694" t="s">
        <v>2066</v>
      </c>
      <c r="F694" t="s">
        <v>2066</v>
      </c>
      <c r="G694" t="s">
        <v>2067</v>
      </c>
      <c r="H694" t="s">
        <v>2068</v>
      </c>
      <c r="I694" t="s">
        <v>2067</v>
      </c>
    </row>
    <row r="695" spans="1:9" x14ac:dyDescent="0.2">
      <c r="A695" t="str">
        <f>"ZD52726144"</f>
        <v>ZD52726144</v>
      </c>
      <c r="B695" t="s">
        <v>9</v>
      </c>
      <c r="C695" t="s">
        <v>2069</v>
      </c>
      <c r="D695" t="s">
        <v>11</v>
      </c>
      <c r="E695" t="s">
        <v>2070</v>
      </c>
      <c r="F695" t="s">
        <v>2070</v>
      </c>
      <c r="G695" t="s">
        <v>1452</v>
      </c>
      <c r="H695" t="s">
        <v>2071</v>
      </c>
      <c r="I695" t="s">
        <v>1452</v>
      </c>
    </row>
    <row r="696" spans="1:9" x14ac:dyDescent="0.2">
      <c r="A696" t="str">
        <f>"Z24279A58D"</f>
        <v>Z24279A58D</v>
      </c>
      <c r="B696" t="s">
        <v>9</v>
      </c>
      <c r="C696" t="s">
        <v>2072</v>
      </c>
      <c r="D696" t="s">
        <v>11</v>
      </c>
      <c r="E696" t="s">
        <v>2073</v>
      </c>
      <c r="F696" t="s">
        <v>2073</v>
      </c>
      <c r="G696" t="s">
        <v>2074</v>
      </c>
      <c r="H696" t="s">
        <v>2075</v>
      </c>
      <c r="I696" t="s">
        <v>2074</v>
      </c>
    </row>
    <row r="697" spans="1:9" x14ac:dyDescent="0.2">
      <c r="A697" t="str">
        <f>"Z482699949"</f>
        <v>Z482699949</v>
      </c>
      <c r="B697" t="s">
        <v>9</v>
      </c>
      <c r="C697" t="s">
        <v>2076</v>
      </c>
      <c r="D697" t="s">
        <v>11</v>
      </c>
      <c r="E697" t="s">
        <v>218</v>
      </c>
      <c r="F697" t="s">
        <v>218</v>
      </c>
      <c r="G697" t="s">
        <v>2077</v>
      </c>
      <c r="H697" t="s">
        <v>2078</v>
      </c>
      <c r="I697" t="s">
        <v>2079</v>
      </c>
    </row>
    <row r="698" spans="1:9" x14ac:dyDescent="0.2">
      <c r="A698" t="str">
        <f>"5997421C5D"</f>
        <v>5997421C5D</v>
      </c>
      <c r="B698" t="s">
        <v>9</v>
      </c>
      <c r="C698" t="s">
        <v>2080</v>
      </c>
      <c r="D698" t="s">
        <v>123</v>
      </c>
      <c r="E698" t="s">
        <v>2081</v>
      </c>
      <c r="F698" t="s">
        <v>1678</v>
      </c>
      <c r="G698" t="s">
        <v>2082</v>
      </c>
      <c r="H698" t="s">
        <v>2083</v>
      </c>
      <c r="I698" t="s">
        <v>2084</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Fogli di lavoro</vt:lpstr>
      </vt:variant>
      <vt:variant>
        <vt:i4>1</vt:i4>
      </vt:variant>
    </vt:vector>
  </HeadingPairs>
  <TitlesOfParts>
    <vt:vector size="1" baseType="lpstr">
      <vt:lpstr>190_2021_export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2022-01-31T09:24:58Z</dcterms:created>
  <dcterms:modified xsi:type="dcterms:W3CDTF">2022-01-31T09:24:58Z</dcterms:modified>
</cp:coreProperties>
</file>