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VinMal\Desktop\"/>
    </mc:Choice>
  </mc:AlternateContent>
  <xr:revisionPtr revIDLastSave="0" documentId="13_ncr:1_{05E3E44D-F8C9-479A-9B57-15D654DFCB66}" xr6:coauthVersionLast="36" xr6:coauthVersionMax="47" xr10:uidLastSave="{00000000-0000-0000-0000-000000000000}"/>
  <bookViews>
    <workbookView xWindow="11580" yWindow="5460" windowWidth="28035" windowHeight="17445" xr2:uid="{00000000-000D-0000-FFFF-FFFF00000000}"/>
  </bookViews>
  <sheets>
    <sheet name="AVCP2022"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2" i="1" l="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alcChain>
</file>

<file path=xl/sharedStrings.xml><?xml version="1.0" encoding="utf-8"?>
<sst xmlns="http://schemas.openxmlformats.org/spreadsheetml/2006/main" count="6107" uniqueCount="2429">
  <si>
    <t>CIG</t>
  </si>
  <si>
    <t>Struttura proponente</t>
  </si>
  <si>
    <t>Oggetto</t>
  </si>
  <si>
    <t>Scelta del contraente</t>
  </si>
  <si>
    <t>Elenco operatori invitati</t>
  </si>
  <si>
    <t>Aggiudicatario</t>
  </si>
  <si>
    <t>Importo di aggiudicazione</t>
  </si>
  <si>
    <t>Tempi</t>
  </si>
  <si>
    <t>Importo somme liquidate</t>
  </si>
  <si>
    <t>01114010620-Universit√† del Sannio</t>
  </si>
  <si>
    <t xml:space="preserve">Determina di affidamento diretto di Materiale Informatico Vario, tramite Accordo Quadro stipulato dall'Ateneo, ad esito di R.D.O. sul M.E.P.A. (Decreto Direttoriale del 02 marzo 2021, n. 239), con il fornitore Mods Art S.r.l.,, per esigenze di ricerca e didattica del Dipartimento di Scienze e Tecnologie, ai sensi dell'art. 36, co 2, lett. a) del D.Lgs. 50/2016 </t>
  </si>
  <si>
    <t>26-AFFIDAMENTO DIRETTO IN ADESIONE AD ACCORDO QUADRO/CONVENZIONE</t>
  </si>
  <si>
    <t>02317340699-MODS ART SRL</t>
  </si>
  <si>
    <t>503.33</t>
  </si>
  <si>
    <t>Gara europea a procedura aperta per l'appalto dei Lavori di ristrutturazione, riqualificazione e rifunzionamento per la realizzazione di un centro per attivit√† di ricerca, trasferimento tecnologico, alta formazione e creazione d'impresa - SherIL</t>
  </si>
  <si>
    <t>01-PROCEDURA APERTA</t>
  </si>
  <si>
    <t>06943630720-GIUSEPPE VERONICO SRL,06116421212-CONSORZIO STABILE SOLEDIL SRL,09577301212-CONSORZIO STABILE CANTIERE ITALIA,04809241211-SMS SPA con ruolo 01-MANDANTE,05419570634-EDILGEN SPA con ruolo 02-MANDATARIA,04818750657-DI AGOSTINO COSTRUZIONI DEL GEOM. DI AGOSTINO GIUSEPPE S.R.L. con ruolo 01-MANDANTE,03650400652-SAGGESE SPA con ruolo 02-MANDATARIA,00272580630-Graded S.p.A. con ruolo 01-MANDANTE,01249220623-FERRARO COSTRUZIONI SRL con ruolo 02-MANDATARIA</t>
  </si>
  <si>
    <t>00272580630-Graded S.p.A. con ruolo 01-MANDANTE,01249220623-FERRARO COSTRUZIONI SRL con ruolo 02-MANDATARIA</t>
  </si>
  <si>
    <t>6011486.63</t>
  </si>
  <si>
    <t>Fornitura di Access Point e di licenze Meraki Enterprise Cloud per il sistema WIFI di ateneo</t>
  </si>
  <si>
    <t>33-PROCEDURA NEGOZIATA PER AFFIDAMENTI SOTTO SOGLIA</t>
  </si>
  <si>
    <t>00488410010-TELECOM ITALIA S.P.A.</t>
  </si>
  <si>
    <t>24709.75</t>
  </si>
  <si>
    <t>Lotto I  C.I.G.: 8682750FF4, C.U.P.: F85F21000830005, Complesso Immobiliare denominato EX INPS</t>
  </si>
  <si>
    <t>04-PROCEDURA NEGOZIATA SENZA PREVIA PUBBLICAZIONE</t>
  </si>
  <si>
    <t>01255030627-COSTRUZIONI LOMBARDI ACHILLE S.R.L.,01483060628-CONSORZIO STABILE MEDIL Societ√† consortile per azioni,03693300638-SOC. COOP. LA FIORELLA 82,01881650616-COSTRUZIONI DE.M.AL. SRL,01503070623-MASTIO RESTAURI SRL,01519510620-DWE S.R.L.,14194131000-A.I.CO. CONSORZIO STABILE S.c. a r.l.,VRZFNC49P08B872T-GEOM. VERAZZO FRANCESCO,02099930618-COGESA DI CORVINO VINCENZO S.R.L.,03568420636-VA.BEN SRL,01300650627-NEW SERVICE SRL,02483170367-I.M.E.SRL,08632181213-DEA SRL,01143770624-RICCI COSTRUZIONI,03290340169-ALIN SRL,06965650630-Impresa Ingg. Mario e Paolo Cosenza srl,03076110612-BS Costruzioni S.r.l.,15139731002-A.I.R.CONSORZIO STABILE SCARL,01681500623-FASULO COSTRUZIONI EDILI S.R.L.,01856130651-FRANCO COSTRUZIONI GENERALI SRL,08610291216-Falco Group S.r.l.,05748201216-MAR. SAL. RESTAURI S.R.L.,02686950649-GRAMA SRL,03770981219-CACEDI S.R.L.,02804100648-Di.Gi. Lavori s.r.l.,05930561211-EDILCIDO SRL,01071550626-BARONE COSTRUZIONI SRL,04660650633-COSTRUZIONI MERIDIONALI srl,06752701216-S.I.M. COSTRUZIONI S.R.L.,14269521002-GE.TI COSTRUZIONI GENERALI S.R.L.,05237211213-DELTA IMPIANTI SRL,07889071218-G.R.V. COSTRUZIONI E RESTAURI S.R.L.,05500170633-LA.RE.FIN. S.r.l.,06085471214-P.&amp;C. S.R.L.,09079091212-ELTEL SRL,06206891217-R.C.R. RESTAURI S.R.L.,01600330615-VINCENZO MODUGNO SRL,03721560633-Orf√© Costruzioni S.r.l.,07436730639-RICCIO COSTRUZIONI SOC. COOP.,05641980726-MANUTENZIONI SRL,00769870767-PARI COSTRUZIONI S.R.L.,10925671009-INFRATECH CONSORZIO STABILE S.C. A R.L.,02334860646-PAPA SERVICE S.A.S.,01496070630-EDILCAP SOC. COOP. DI PRODUZIONE E LAVORO AR.L.,15726231002-CONSORZIO STABILE OPERA S.C. A R.L.,05955211213-T.S.G. Costruzioni,04813191212-S.A.R.I.T. COSTRUZIONI,04925950653-SAMOA RESTAURI SRL,03351760636-ROMANO COSTRUZIONI &amp; C. S.R.L.,07538190724-TANCREDI RESTAURI S.R.L.,03381151202-GENIALE SRL,00287780639-S.A.V.A. &amp; C. Societ√† Anonima Vendita Appartamenti e Costruzioni S.r.l.,07416870637-SOC. COOP. PROGETTO 2000 ARL,04829190638-M.E.C. MERIDIONALE EDILIZIA COSTRUZIONI S.R.L.,08126680720-LACOGEIT S.R.L.,02696941216-CAPRIELLO VINCENZO SRL,03650400652-SAGGESE SPA,06806550965-CONSORZIO SERVIZI INTEGRATI,DMRBRN70R10F839U-ISOLTECNO DI DI MARINO BRUNO,02829730650-Alfieri Impianti di Alfieri Domenico &amp; c. s.a.s. con ruolo 01-MANDANTE,00184900652-SCHIAVO &amp; C. S.p.A. con ruolo 02-MANDATARIA,12505231006-AVC SRL con ruolo 01-MANDANTE,06443781007-fubelli srl con ruolo 02-MANDATARIA,04106590658-DIELLE Impianti S.r.l. con ruolo 01-MANDANTE,04876741218-I.CO.RES. S.R.L. con ruolo 02-MANDATARIA,01323360188-FARINA AURELIO con ruolo 01-MANDANTE,03707861211-GIEFFECOSTRUZIONI SRL con ruolo 02-MANDATARIA,04503451215-NEW TEC SRL con ruolo 01-MANDANTE,03219230616-DI PUORTO COSTRUZIONI SRL con ruolo 01-MANDANTE,03275710659-IGEA COSTRUZIONI SRL con ruolo 02-MANDATARIA</t>
  </si>
  <si>
    <t>05500170633-LA.RE.FIN. S.r.l.</t>
  </si>
  <si>
    <t>425796.77</t>
  </si>
  <si>
    <t>n.2 server rackable per lab. polifunzionale adesione convenzione consip tecnologie server 3</t>
  </si>
  <si>
    <t>Affidamento diretto ex art. 36, comma 2, lett. a) del D. Lgs. 50/2016, alla Societ√† BIO-RAD LABORATORIES S.r.l., con sede a Segrate (MI), Via Cellini, n.18/A  - Cap. 20090  P.IVA 00801720152, per l'acquisto di materiale di consumo per i laboratori del Dipartimento di Scienze e Tecnologie</t>
  </si>
  <si>
    <t>23-AFFIDAMENTO DIRETTO</t>
  </si>
  <si>
    <t>Affidamento diretto ex art. 36, comma 2, lett. a) del D. Lgs. 50/2016, alla Societ√† M&amp;M BIOTECH S.c.a.r.l. con sede a Napoli (NA), Via de Bonis G.Generale, n.81 - Cap. 80123 - P.IVA/C.F. 05632311212, per l'acquisto di materiale di consumo per il Laboratorio di Biologia Molecolare presso il Dipartimento di Scienze e Tecnologie, relativo al progetto NEON- Nanofotonica per nuovi approcci diagnostici e terapeutici in Oncologia e Neurologia di cui √® responsabile scientifico la Prof.ssa Lina Sabatino</t>
  </si>
  <si>
    <t>Acquisto materiale di laboratorio per la Professoressa Canzoniero</t>
  </si>
  <si>
    <t>08860270969-PRODOTTI GIANNI srl</t>
  </si>
  <si>
    <t>2667.4</t>
  </si>
  <si>
    <t>Trattativa diretta MEPA  per laffidamento, ai sensi dellart.36, comma 2, lettera a) del D. Lgs. 18 aprile 2016, n. 50, allEditore "Giuffr√® Lefebvre" per rinnovo dellabbonamento istituzionale alla banca dati online "DeJure per il periodo luglio 2022 a giugno 2025.</t>
  </si>
  <si>
    <t>00829840156-GIUFFRE' FRANCIS LEFEBVRE S.P.A.</t>
  </si>
  <si>
    <t>15435.0</t>
  </si>
  <si>
    <t>Piccola strumentazione di laboratorio</t>
  </si>
  <si>
    <t>09802470154-SCHARLAB ITALIA s.r.l.</t>
  </si>
  <si>
    <t>1008.41</t>
  </si>
  <si>
    <t>Fornitura di componenti elettronici richiesti dal prof. Sergio Rapuano nell'ambito dell'attivit√† di Ricerca NIST</t>
  </si>
  <si>
    <t>03796500753-MIRIFICA</t>
  </si>
  <si>
    <t>6033.04</t>
  </si>
  <si>
    <t>Servizio pubblicazione Esito di Gara Lavori SHerIL</t>
  </si>
  <si>
    <t>06374241211-Edizioni Savarese s.r.l.</t>
  </si>
  <si>
    <t>1815.5</t>
  </si>
  <si>
    <t>Utilizzo software Flac3D ai fini della modellazione delle instabilit√† di versante</t>
  </si>
  <si>
    <t>09907290150-HARPACEAS</t>
  </si>
  <si>
    <t>360.0</t>
  </si>
  <si>
    <t>A.Q. SARSTEDT Srl - Richiesta materiali di consumo per il laboratorio del DST del Prof. Zullo Alberto</t>
  </si>
  <si>
    <t>Affidamento diretto ex art. 36, comma 2, lett. a) del D. Lgs. 50/2016, alla Societ√† VWR International  S.r.l., con sede a Milano (MI), Via San Giusto, 85 - Cap. 20153  P.IVA /C.F. 12864800151,per l'acquisto di materiale di consumo per il Lab- 27/29 del Dipartimento di Scienze e Tecnologie, nellambito del Progetto "VERITAS", di cui √® responsabile scientifico il Prof. Carmine Guarino</t>
  </si>
  <si>
    <t>12864800151-VWR INTERNATIONAL SRL</t>
  </si>
  <si>
    <t>1354.87</t>
  </si>
  <si>
    <t>adesione della Universit√† degli Studi del Sannio alla Convenzione per la fornitura di energia elettrica, a Prezzo Variabile a 12 mesi, e dei servizi connessi per le Pubbliche Amministrazioni, ai sensi dellarticolo 26, Legge 23 dicembre 1999, n. 488 e successive modifiche ed integrazioni e dellarticolo 58, Legge 23 dicembre 2000, n. 388  edizione 19 - Lotto 13, relativa alla Regione Campania (C.I.G. numero 8769256AF8), stipulata in data 29 novembre 2021, tra la Societ√† per Azioni Consip e la Societ√† per Azioni Hera Comm.  - Palazzo Zoppoli</t>
  </si>
  <si>
    <t>02221101203-Hera Comm s.p.a.</t>
  </si>
  <si>
    <t>24900.0</t>
  </si>
  <si>
    <t>15890.0</t>
  </si>
  <si>
    <t xml:space="preserve">Affidamento diretto ex art. 36, comma 2, lett. a) del D. Lgs. 50/2016, alla Societ√† FKV S.r.l., con sede a Torre Boldone (BG), Largo delle Industrie,10  - Cap.24020 - C.F./P.IVA 08020000000656, per l'acquisto di materiale di consumo per il Lab- 27/29 del Dipartimento di Scienze e Tecnologie, relativo al progetto "Viticoltura di precisione per produzioni sostenibili di qualit√† con caratteristiche funzionali (VERITAS), </t>
  </si>
  <si>
    <t>Fornitura, nell'ambito della Convenzione CONSIP Personal Computer portatili e Tablet 3 - Lotto 4, di un notebook per le esigenze della Direzione Generale</t>
  </si>
  <si>
    <t>00929440592-INFORDATA</t>
  </si>
  <si>
    <t>1015.0</t>
  </si>
  <si>
    <t>Acquisizione riviste cartacee/digitali in adesione ad Accordo Quadro Lotto 2-G00601L002-RdO 2772530 - DR 341/2021 (Largo consumo 2023)</t>
  </si>
  <si>
    <t>02938930589-CELDES SRL</t>
  </si>
  <si>
    <t>265.0</t>
  </si>
  <si>
    <t>Affidamento diretto, ai sensi dell art. 36, comma 2, lett. a) del D. Lgs. 50/2016, alla Societ√† QIAGEN S.r.l.  con sede a Milano (MI), Via F. Sassetti,16 - Cap. 20124  P.IVA./C.F. 13110270157, per l'acquisto di materiale di consumo per il Laboratorio di Farmacologia e Tossicologia n¬∞64 presso il Dipartimento di Scienze e Tecnologie, che graver√† sul progetto NeON-Nanofotonica per nuovi approcci diagnostici e terapeutici in Oncologia e Neurologia, il cui responsabile scientifico √® la Prof.ssa Lina Sabatino</t>
  </si>
  <si>
    <t>Affidamento diretto ex art. 36, comma 2, lett. a) del D. Lgs. 50/2016, alla Societ√† LEVANCHIMICA S.r.l., con sede a Bari (BA), Viale T. Columbo, 41 - Cap.70132   C.F./P.IVA 03587930722,per l'acquisto di materiale di consumo per il Lab- 27/29 del Dipartimento di Scienze e Tecnologie, relativo al progetto Veritas-Viticoltura di precisione per produzioni sostenibili di qualit√† con caratteristiche funzionali, di cui √® responsabile scientifico il Prof. Carmine Guarino.</t>
  </si>
  <si>
    <t>03587930722-LEVANCHIMICA S.R.L.</t>
  </si>
  <si>
    <t>1009.68</t>
  </si>
  <si>
    <t>A.Q. Prodotti Gianni Srl - Acq.materiale di consumo per laboratori del DST - Prof.ssa Sciarrillo</t>
  </si>
  <si>
    <t>Affidamento diretto ex art. 36, comma 2, lett. a) del D. Lgs. 50/2016, alla Societ√† MICROTECH S.r.l., con sede a Napoli (NA), Viale Augusto,162 - Cap. 80125  P.IVA /C.F. 05791560633,  per lacquisto di materiale di consumo e attrezzatura scientifica per i Laboratori del Dipartimento di Scienze e Tecnologie</t>
  </si>
  <si>
    <t>Accordo quadro sarstedt ordine N¬∞12 del 14/11/2022</t>
  </si>
  <si>
    <t>00695940213-SARSTEDT SRL</t>
  </si>
  <si>
    <t>676.22</t>
  </si>
  <si>
    <t>Acquisto monografie in adesione ad Accordo Quadro lotto1 G00601L001</t>
  </si>
  <si>
    <t xml:space="preserve">RSCMCR67L51L781C-Libreria Scientifica Rescalli </t>
  </si>
  <si>
    <t>2833.0</t>
  </si>
  <si>
    <t>Acquisizione riviste cartacee/digitali in adesione ad Accordo Quadro Lotto 2-G00601L002-RdO 2772530 - DR 341/2021</t>
  </si>
  <si>
    <t>2100.0</t>
  </si>
  <si>
    <t>Affidamento diretto ex art. 36, comma 2, lett. a) del D. Lgs. 50/2016, alla Societ√† SCHARLAB ITALIA  S.r.l., con sede a Riozzo di Cerro al Lambro (MI), Via A. De Gasperi, 56  - Cap.20070 - C.F./P.IVA 09802470154, per l'acquisto di materiale di consumo per il Lab- 27/29 del Dipartimento di Scienze e Tecnologie, relativo al progetto "Viticoltura di precisione per produzioni sostenibili di qualit√† con caratteristiche funzionali (VERITAS), di cui √® responsabile scientifico il Prof. Carmine Guarino.</t>
  </si>
  <si>
    <t>Affidamento diretto ex art. 36, comma 2, lett. a) del D. Lgs. 50/2016, alla Societ√† DBA ITALIA S.r.l., con sede a Segrate (MI), Via Umbria,10  - Cap. 20054  P.IVA 07484470153, per l'acquisto di materiale di consumo per i Laboratori  del  Dipartimento di Scienze e Tecnologie</t>
  </si>
  <si>
    <t>07484470153-DBA ITALIA SRL</t>
  </si>
  <si>
    <t>1710.0</t>
  </si>
  <si>
    <t>Affidamento diretto ex art. 36, comma 2, lett. a) del D. Lgs. 50/2016, alla Societ√† LEVANCHIMICA S.r.l., con sede a Bari (BA), Viale T. Columbo, 41 - Cap.70132   C.F./P.IVA 03587930722,  per l'acquisto di materiale di consumo per i Laboratori  del  Dipartimento di Scienze e Tecnologie.</t>
  </si>
  <si>
    <t>2118.0</t>
  </si>
  <si>
    <t>Fornitura SIM agli studenti nell'ambito dell'iniziativa 5xmille Metti in rete i giovani</t>
  </si>
  <si>
    <t>21000.0</t>
  </si>
  <si>
    <t xml:space="preserve">Affidamento diretto ex art. 36, comma 2, lett. a) del D. Lgs. 50/2016, mediante ordine diretto sulla Piattaforma del Mercato Elettronico della Pubblica Amministrazione  - MEPA, per l'acquisto di beni strumentali per i Lab-27/29 del Dipartimento di Scienze e Tecnologie, nell'ambito del Progetto "Viticoltura di precisione per produzioni sostenibili di qualit√† con caratteristiche funzionali (VERITAS), </t>
  </si>
  <si>
    <t>479.0</t>
  </si>
  <si>
    <t>Accordo quadro prodotti gianni ordine N¬∞ 010 del 04/11/2022</t>
  </si>
  <si>
    <t>493.0</t>
  </si>
  <si>
    <t>Affidamento diretto ex art. 36, comma 2, lett. a) del D. Lgs. 50/2016, mediante ordine diretto sulla Piattaforma del Mercato Elettronico della Pubblica Amministrazione  - MEPA, per l'acquisto del servizio di consulenza e assistenza informatica per la realizzazione di un sito web per la gestione dati sui corpi in frana necessario per l'attivit√†  di ricerca del Laboratorio di Geologia Applicata del Dipartimento di Scienze e Tecnologie, che graver√† sui fondi del progetto Convenzione- Montaguto Regione Campania, di cui √® titolare  il Prof. Francesco M. Guadagno.</t>
  </si>
  <si>
    <t>Acquisto monografie in adesione all'Accordo Quadro D.R. 341 del 24 marzo 2021 - lotto 1 cod. G00601L001</t>
  </si>
  <si>
    <t>3250.0</t>
  </si>
  <si>
    <t xml:space="preserve">A.Q. PRODOTTI GIANNI Srl - Materiale di consumo per i lab. del DST della Prof.ssa Sabatino </t>
  </si>
  <si>
    <t>Consumabile richiesto per esperimenti di biodisponibilit√† e differenziamento in linee cellulari primarie e immortalizzate</t>
  </si>
  <si>
    <t>13209130155-MERCK LIFE SCIENCE S.R.L.</t>
  </si>
  <si>
    <t>231.0</t>
  </si>
  <si>
    <t>Acquisto monografie in adesione all'Accordo Quadro Lotto 1 - cod. G00601L001 - DR n. 341 del 24 marzo 2021</t>
  </si>
  <si>
    <t>235.0</t>
  </si>
  <si>
    <t xml:space="preserve"> Fornitura di materiale di laboratorio per ricerca della prof.ssa Lina Sabatino</t>
  </si>
  <si>
    <t>08126390155-EUROCLONE SPA</t>
  </si>
  <si>
    <t>3205.33</t>
  </si>
  <si>
    <t>196.0</t>
  </si>
  <si>
    <t>Allestimento di una sala per videoconferenza nell'ambito dell'Accordo Quadro della fornitura di materiale informatico vario (CIG MASTER 8602177506)</t>
  </si>
  <si>
    <t>14816.54</t>
  </si>
  <si>
    <t>Affidamento diretto ex art. 36, comma 2, lett. a) del D. Lgs. 50/2016, alla Societ√† REACT4LIFE S.r.l., con sede a Genova (GE), Via D. Fiasella, 1 - Cap. 16120  P.IVA 02436280990, per l'acquisto di materiale di consumo per il Lab- 27/29 Sistemi integrati di Biologia Animale e vegetale del Dipartimento di Scienze e Tecnologie, relativo al progetto Veritas-Viticoltura di precisione per produzioni sostenibili di qualit√† con caratteristiche funzionali, di cui √® responsabile scientifico il Prof. Carmine Guarino</t>
  </si>
  <si>
    <t>Acquisto materiali per laboratorio per esigenze di ricerca del prof. Vito Pasquale</t>
  </si>
  <si>
    <t>345.0</t>
  </si>
  <si>
    <t>Affidamento diretto, ai sensi dellart.36, comma 2, lettera a) del D. Lgs. 18 aprile 2016, n. 50, alla Societ√† GUERRI MARIO SAS DI MARGHERITA GUERRI per lacquisto di n. 1 carrello portalibri e n. 92 reggilbri.</t>
  </si>
  <si>
    <t>04832360632-Guerri Mario sas di Margherita Guerri</t>
  </si>
  <si>
    <t>1492.0</t>
  </si>
  <si>
    <t>Affidamento diretto, ai sensi dellart. 36, comma 2, lett. a), D. Legislativo 50/2016 e ss.mm.ii, del rinnovo per un anno delle licenze WebEx educational</t>
  </si>
  <si>
    <t>11433481006-AXIANS Brandid SpA</t>
  </si>
  <si>
    <t>4385.83</t>
  </si>
  <si>
    <t>Acquisto monografie in adesione ad accordo quadro lotto1 cod. G00601L001</t>
  </si>
  <si>
    <t>3199.0</t>
  </si>
  <si>
    <t>Affidamento diretto, ai sensi dellart.36, comma 2, lettera a) del D. Lgs. 18 aprile 2016, n. 50, alla Societ√† Le Sentenze.it S.r.l.s. per la sottoscrizione dellabbonamento alla banca dati Lesentenze.it - Anno 2022</t>
  </si>
  <si>
    <t>01733860629-Lesentenze</t>
  </si>
  <si>
    <t>150.0</t>
  </si>
  <si>
    <t xml:space="preserve">Richiesta Acquisti ordine N¬∞11 Prodotti Gianni in accordo quadro </t>
  </si>
  <si>
    <t>1182.35</t>
  </si>
  <si>
    <t>Materiale di consumo per laboratorio per esigenze di ricerca del prof. Carmine Guarino</t>
  </si>
  <si>
    <t>05791560633-MICROTECH S.R.L.</t>
  </si>
  <si>
    <t>195.0</t>
  </si>
  <si>
    <t>A.Q. SARSTEDT S.r.l. - Acquisto materiali di consumo - Prof. A.Zullo</t>
  </si>
  <si>
    <t>Servizio di indagini investigative</t>
  </si>
  <si>
    <t>Spese per pubblicazioni scientifiche JOHN WILEY_ Dott.ssa Sciarrillo</t>
  </si>
  <si>
    <t>99999999999-John Wiley &amp; Sons, Inc</t>
  </si>
  <si>
    <t>816.0</t>
  </si>
  <si>
    <t>Pubblicazione articolo scientifico Biomed Central _ Prof. Guarino</t>
  </si>
  <si>
    <t xml:space="preserve">99999999999-BioMed Central Ltd </t>
  </si>
  <si>
    <t>2254.37</t>
  </si>
  <si>
    <t xml:space="preserve">Determina di affidamento diretto di Materiale Informatico Vario, tramite Accordo Quadro stipulato dallAteneo, ad esito di R.D.O. sul M.E.P.A. (Decreto Direttoriale del 02 marzo 2021, n. 239), con il fornitore Mods Art S.r.l.,, per esigenze di ricerca e didattica del Dipartimento di Scienze e Tecnologie, ai sensi dell'art. 36, co 2, lett. a) del D.Lgs. 50/2016 </t>
  </si>
  <si>
    <t xml:space="preserve">Affidamento diretto, ai sensi dellart.36, comma 2, lettera a) del D. Lgs. 18 aprile 2016, n. 50, alla EBSCO Information Services S.r.l per la sottoscrizione annuale della risorsa "The New York Times - Academic Site License </t>
  </si>
  <si>
    <t>11164410018-EBSCO INFORMATION SERVICES SRL</t>
  </si>
  <si>
    <t>2600.0</t>
  </si>
  <si>
    <t>5249.0</t>
  </si>
  <si>
    <t>Rinnovo adesione ACNP per il 2021 con ABIS - AREA BIBLIOTECHE E SERVIZI ALLO STUDIO - Universit√† di Bologna</t>
  </si>
  <si>
    <t>80007010376-ABIS - AREA BIBLIOTECHE E SERVIZI ALLO STUDIO</t>
  </si>
  <si>
    <t>225.0</t>
  </si>
  <si>
    <t>Lavori edili OG2 e OS2_"Adeguamento alle norme antincendio dell'immobile denominato S. Agostino"</t>
  </si>
  <si>
    <t>CCCNLN64H10D755O-COCCHIARELLA NICOLANTONIO</t>
  </si>
  <si>
    <t>272992.23</t>
  </si>
  <si>
    <t xml:space="preserve">Affidamento diretto, ai sensi dellart.36, comma 2,lettera a) del D. Lgs. 18 aprile 2016, n. 50, allaInternational Federation of Library Associationsand Institutionsdella fornitura di Vaucher interi eVaucher mezzi per il pagamento delle transazioniinterbibliotecarie   relative   ai   servizi   di   PrestitoInterbibliotecario e di fornitura di documenti incopia1 </t>
  </si>
  <si>
    <t>NL 002870836B01 -IFLA HQ</t>
  </si>
  <si>
    <t>1826.0</t>
  </si>
  <si>
    <t xml:space="preserve">A.Q. Sarstedt Srl - Materiale di consumo per il laboratorio di Biochimica del DST  - Prof. A.Zullo </t>
  </si>
  <si>
    <t xml:space="preserve">materiale laboratorio optoelettronico </t>
  </si>
  <si>
    <t>Materiale laboratorio optoelettronico</t>
  </si>
  <si>
    <t xml:space="preserve">In adesione all'Accordo Quadro D.R. n. 341 del 24 marzo 2021 - lotto 2 cod. G00601L002, rinnovo abbonamenti alle seguenti riviste digitali: - Limes (Gedi Digital); - Sviluppo &amp; Organizzazione (Este); - Rivista italiana di regioneria e di economia aziendale (Rirea). </t>
  </si>
  <si>
    <t>Pubblicazione articolo scientifico MDPI _ Prof.Vito (Prog. INBIOMED)</t>
  </si>
  <si>
    <t>CHE115694943-MDPI</t>
  </si>
  <si>
    <t>1456.4</t>
  </si>
  <si>
    <t xml:space="preserve">A.Q. Sarstedt S.rl. -Acq. materiale di consumo per laboratori del DST - Prof.ssa Lina Sabatino </t>
  </si>
  <si>
    <t>Acq. materiali di consumo -Prof.ssa Cioffi Federica</t>
  </si>
  <si>
    <t xml:space="preserve">A.Q. LIFE TECHNOLOGIES Italia - Materiale di consumo per il lab. DST del Prof. Francesco Mancini </t>
  </si>
  <si>
    <t xml:space="preserve">Affidamento diretto ex art. 36, comma 2, lett. a) del D. Lgs. 50/2016, alla Societ√† LEVANCHIMICA S.r.l., con sede a Bari (BA), Viale T.Columbo,41 - Cap.70132   C.F./P.IVA 03587930722, per l'acquisto di materiale di consumo per il Laboratorio Sistemi Integrati di Biologia Animale e Vegetale per l Ambiente e la Salute presso il Dipartimento di Scienze e Tecnologie, che  graver√† sul progetto Bonifiche_Guarino,il cui responsabile scientifico √® il Prof. Carmine Guarino.  </t>
  </si>
  <si>
    <t>1686.2</t>
  </si>
  <si>
    <t>Acquisto Materiale laboratorio per la Professoressa Sabatino Lina</t>
  </si>
  <si>
    <t>MNCRND76E29A489N-AM INFORMATICA DI MONACO ARMANDO</t>
  </si>
  <si>
    <t>1456.91</t>
  </si>
  <si>
    <t>Affidamento diretto ex art. 36, comma 2, lett. a) del D. Lgs. 50/2016, alla Societ√† CONSUL S.r.l., con sede a Napoli (Na), Via Posillipo, n.316 - Cap. 80123  P.IVA 06768650639,per l'acquisto di attrezzature tecnico-scientifiche per i laboratori del Dipartimento di Scienze e Tecnologie, relativo al Progetto Arredi ex Enel, di cui √® responsabile scientifico il Direttore di dipartimento, la Prof.ssa  Maria Moreno.</t>
  </si>
  <si>
    <t>Affidamento diretto, ai sensi dell art. 36, comma 2, lett. a) del D. Lgs. 50/2016, alla Societ√† VODEN Medical  S.p.A.  con sede a Meda (MB), Via della Vigna,2 - Cap. 20821  P.IVA./C.F. 03784450961, per l'acquisto di materiale di consumo per il Laboratorio di Farmacologia e Tossicologia n¬∞64 presso il Dipartimento di Scienze e Tecnologie, che graver√† sul progetto DST-Funzionamento Laboratori, il cui responsabile scientifico √® il Direttore del Dipartimento Prof.ssa Maria Moreno.</t>
  </si>
  <si>
    <t>Articolo Scientifico - oneri obbligatori di pubblicazione con affidamento diretto ex art. 36, comma 2, lett. a), del D. Lgs. 50/2016,  su richiesta del Prof. Pasquale Vito del Laboratorio di Genetica del  Dipartimento di Scienze e Tecnologie.</t>
  </si>
  <si>
    <t>Affidamento diretto ex art. 36, comma 2, lett. a) del D. Lgs. 50/2016,   per la pubblicazione del volume  dal titolo I gesti e la filigrana. La trama del pensiero teologico e sociale di Papa Francesco della Prof.ssa Monica Simeoni</t>
  </si>
  <si>
    <t xml:space="preserve">00802930230-Il Segno dei Gabrielli Editori di Gabrielli Lucia &amp; C. Snc </t>
  </si>
  <si>
    <t>1800.0</t>
  </si>
  <si>
    <t>Ordine N¬∞ 12 del 9/11/2022 in accordo quadro Prodotti Gianni</t>
  </si>
  <si>
    <t>1318.8</t>
  </si>
  <si>
    <t xml:space="preserve">Determina di affidamento diretto della fornitura di attrezzature Informatiche, tramite ricorso all'Accordo Quadro stipulato dall'Ateneo, ad esito di R.D.O. sul M.E.P.A. (Decreto Direttoriale del 2 marzo 2022, n. 246), con il fornitore AM Informatica di Monaco Armando, per esigenze di ricerca e didattica presso il Dipartimento di Dipartimento di Scienze e Tecnologie. </t>
  </si>
  <si>
    <t xml:space="preserve">A.Q. Prodotti Gianni Srl - Acq.materiale di consumo per laboratori del DST - Dott.ssa Peluso / Prof.ssa Elena Silvestri. </t>
  </si>
  <si>
    <t>Reagenti necessari per il completamento delle attivit√† di ricerca previste dal progetto</t>
  </si>
  <si>
    <t>01086690581-S.I.A.L. Srl</t>
  </si>
  <si>
    <t>4298.0</t>
  </si>
  <si>
    <t>Affidamento diretto, ai sensi dellart. 36, comma 2, lett. a) del D. Lgs. 50/2016, alla Societ√† EPPENDORF S.r.l., con sede a Milano (MI), Via Zante ,14  - Cap. 20138  P.IVA 10767630154, , per l'acquisto di materiale di consumo per i Laboratori didattici del Dipartimento di Scienze e Tecnologie, che graver√† sul progetto PLS Biologia, il cui responsabile scientifico √®  la Prof.ssa Maria Moreno</t>
  </si>
  <si>
    <t>Affidamento diretto ex art. 36, comma 2, lett. a) del D. Lgs. 50/2016, alla struttura alberghiera Hotel Villa Traiano, con sede in Benevento (BN), Viale dei Rettori 9 - Cap. 82100  P.IVA/C.F. 01700850629,relativo al pernottamento in data 7 aprile 2022 di n.11 relatori in occasione del Convegno Tecnologie digitali, poteri datoriali e diritti dei lavoratori organizzato presso il Dipartimento di Diritto, Economia, Management e Metodi Quantitativi, dal Prof. Rosario Santucci.</t>
  </si>
  <si>
    <t>01700850629-VILLA TRAIANO MANAGEMENT SRL</t>
  </si>
  <si>
    <t>980.0</t>
  </si>
  <si>
    <t>229.0</t>
  </si>
  <si>
    <t>Trattativa Diretta MEPA per Affidamento diretto ai sensi dello art. 36, comma 2, lettera a), del D. Lgs. 18 aprile 2016, n. 50, per il servizio di migrazione del sito web di ateneo dalla versione 8 del CMS Drupal alla versione 9 dello stesso CMS, del servizio di manutenzione ed hosting professionale fino al 31 dicembre 2023, nonch√© dei servizi di ulteriore sviluppo del sito web, compreso il miglioramento di accessibilit√† e usabilit√† dello stesso</t>
  </si>
  <si>
    <t>05921651211-KELYON SRL</t>
  </si>
  <si>
    <t>33000.0</t>
  </si>
  <si>
    <t>A.Q. SARSTEDT Srl - Richiesta materiali di consumo per il laboratorio del DST del Prof.VITO</t>
  </si>
  <si>
    <t>Rinnovo abbonamenti a riviste esclusivamente digitali in adesione ad Accordo Quadro Lotto 2-G00601L002-RdO 2772530 - DR 341/2021</t>
  </si>
  <si>
    <t>327.0</t>
  </si>
  <si>
    <t>2478.76</t>
  </si>
  <si>
    <t>Spese per pubblicazioni scientifiche- Elsevier - Prof.ssa De Nicola</t>
  </si>
  <si>
    <t>NL005033019B01-Elsevier BV</t>
  </si>
  <si>
    <t>1861.5</t>
  </si>
  <si>
    <t>Rinnovo adesione allAssociazione Italiana Biblioteche (AIB) ed acquisto quattro (4) licenze per l'utilizzo del sistema di classificazione Web Dewey Italiana per l'anno 2021</t>
  </si>
  <si>
    <t>02903570584-AIB- Associazione Italiana Biblioteche</t>
  </si>
  <si>
    <t>656.0</t>
  </si>
  <si>
    <t>Servizio di Manutenzione ed assistenza portale Share Catalogue</t>
  </si>
  <si>
    <t>06851241007-@CULT SRL</t>
  </si>
  <si>
    <t>1000.0</t>
  </si>
  <si>
    <t>accordo quadro biorad N¬∞ 02 del 4/11/2022</t>
  </si>
  <si>
    <t>00801720152-BIO-RAD LABORATORIES SRL</t>
  </si>
  <si>
    <t>1191.53</t>
  </si>
  <si>
    <t>Affidamento diretto alla Societ√† Le Sentenze.it S.r.l.s. per la sottoscrizione dell'abbonamento alla banca dati Lesentenze.it - Anno 2021</t>
  </si>
  <si>
    <t xml:space="preserve">Pubblicit√† legale - avviso di esito su "Il Mattino edizione Benevento"  </t>
  </si>
  <si>
    <t>08526500155-Piemme spa Concessionaria di Pubblicit√†</t>
  </si>
  <si>
    <t>457.0</t>
  </si>
  <si>
    <t>Ordine N¬∞ 001 del 10/11/2022 accordo quadro microtech</t>
  </si>
  <si>
    <t>169.0</t>
  </si>
  <si>
    <t>Acquisto della banca dati di riviste digitali "JoVE - Journal of Visualized Experiments"</t>
  </si>
  <si>
    <t>208388889-JOVE - Journal of Visualized Experiments</t>
  </si>
  <si>
    <t>22500.0</t>
  </si>
  <si>
    <t>Acquisto monografie in adesione ad accordo quadro lotto 1 G00601L001</t>
  </si>
  <si>
    <t>3525.0</t>
  </si>
  <si>
    <t>Restauro della facciata est del Complesso Immobiliare denominato Palazzo S. Domenico</t>
  </si>
  <si>
    <t>127753.51</t>
  </si>
  <si>
    <t>Realizzazione di una rampa per i disabili nel giardino Ovest del complesso immobiliare denominato "Sant'Agostino".</t>
  </si>
  <si>
    <t>35000.0</t>
  </si>
  <si>
    <t>Manutenzione e fornitura SMS per OTP, relativi ai certificati di firma digitale remota</t>
  </si>
  <si>
    <t>07945211006-INFOCERT S.p.a.</t>
  </si>
  <si>
    <t>5648.0</t>
  </si>
  <si>
    <t>Fornitura, nell'ambito dell'"Accordo Quadro di durata triennale, della fornitura di Personal Computer, Server, Notebook e Tablet", di personal computer e materiale informatico per le esigenze degli uffici di ateneo</t>
  </si>
  <si>
    <t>11896.58</t>
  </si>
  <si>
    <t>Affidamento diretto per la fornitura di n. 1 carrello portalibri in metallo e n. 60 reggilibri in metallo</t>
  </si>
  <si>
    <t>1140.0</t>
  </si>
  <si>
    <t>Acquisizione di un monte ore per supporto sistemistico sull'applicativo HR e per la gestione dei rilevatori di presenze</t>
  </si>
  <si>
    <t>05006900962-Societ√† per azioni ZUCCHETTI</t>
  </si>
  <si>
    <t>2800.0</t>
  </si>
  <si>
    <t>Affidamento diretto, ai sensi dell art. 36, comma 2, lett. a) del D. Lgs. 50/2016, alla ditta  DECOR del Geom.Maurizio Luce  con sede a Cesinali (AV), Via Nuova,snc - Cap. 83020  P.IVA.02259050645/C.F. LCUNRZ75C09A509T, per l'acquisto di materiale di consumo per il Laboratorio di Geologia Stratigrafica e Sedimentologica presso il Dipartimento di Scienze e Tecnologie, che graver√† sul progetto FRA15_Senatore, il cui responsabile scientifico √® la Prof.ssa Maria Rosaria Senatore</t>
  </si>
  <si>
    <t>Lavori di realizzazione ingresso al cantiere e campo da gioco.</t>
  </si>
  <si>
    <t>66036.11</t>
  </si>
  <si>
    <t>Fornitura e posa in opera delle canalizzazioni per le cappe chimiche ubicate nel laboratorio DST dell'edificio denominato Ex-Enel, sito in Benevento alla Via dei Mulini.</t>
  </si>
  <si>
    <t>Affidamento diretto, ai sensi dellart. 36, comma 2, lett. a) del D. Lgs. 50/2016, alla ditta  GIOCATA SRL, con sede in Sant Angelo a Cupolo (BN), Via Cupolo Verde 5 - Cap. 82010  P.IVA/C.F. 01633040629, del servizio buffet e catering per n. 3 Light Lunch, 5 Coffee Break, 1 Lunch Box,  in occasione della 19th Conference of the EAVP ( European Association of Vertebrate Palaeontologists)  che si terr√† a Benevento presso il Dipartimento di Scienze e Tecnologie, dal 28 giugno al 1 luglio 2022</t>
  </si>
  <si>
    <t>RAD27_Affidamento diretto DRONE DJI FPV Combo Dipartimento di Eccellenza_Mario Luca Bernardi</t>
  </si>
  <si>
    <t>00000000000-PLUX Wireless BIOSIGNALS SA</t>
  </si>
  <si>
    <t>1020.0</t>
  </si>
  <si>
    <t>Affidamento diretto ex art. 36, comma 2, lett. a) del D. Lgs. 50/2016, alla Societ√† M&amp;M BIOTECH S.c.a.r.l. con sede a Napoli (NA), Via de Bonis G.Generale, n.81 - Cap. 80123 - P.IVA/C.F. 05632311212, per l'acquisto di materiale di consumo per il Laboratorio di Fisiologia, Endocrinologia e Metabolismo presso il Dipartimento di Scienze e Tecnologie, relativo al progetto Prin2017_CIOFFI , di cui √® responsabile scientifico la Prof.ssa Federica Cioffi.</t>
  </si>
  <si>
    <t>05632311212-M&amp;M Biotech S.c.a.r.l.</t>
  </si>
  <si>
    <t>2458.22</t>
  </si>
  <si>
    <t>A.Q. EUROCLONE SPA - Richiesta materiali di consumo per il laboratorio DST della  Prof.ssa Sciarrillo</t>
  </si>
  <si>
    <t>Affidamento diretto ai sensi dellart. 36, comma 2, lettera a), del D. Lgs. 18 aprile 2016, n. 50, alla Societ√† @CULT S.r.l. del servizio di manutenzione della piattaforma Share per le esigenze della Biblioteca Centralizzata di Ateneo  01 maggio 2022 -31 dicembre 2022</t>
  </si>
  <si>
    <t>666.0</t>
  </si>
  <si>
    <t>Acquisto monografie in adesione all'Accordo Quadro Lotto 1 - cod. G00601L001</t>
  </si>
  <si>
    <t>1117.0</t>
  </si>
  <si>
    <t>Affidamento diretto ex art. 36, comma 2, lett. a) del D. Lgs. 50/2016, alla Societ√† AGILENT TECHNOLOGIES ITALIA S.p.A. con sede in Cernusco sul Naviglio (MI), Via Gobetti,2/C - Cap. 20063  P.IVA/C.F. 12785290151, per l'acquisto di materiale di consumo per per il Lab- 27/29 del  Dipartimento di Scienze e Tecnologie, relativo al progetto GEO-ARCHEO-Metodologie, strumenti e servizi innovativi per lo sviluppo del patrimonio culturale dei Geo-Archeo-Siti, di cui √® responsabile scientifico la Prof.ssa Roberta Imperatore.</t>
  </si>
  <si>
    <t xml:space="preserve">Affidamento diretto, ai sensi dellart.36, comma 2, lettera a) del D. Lgs. 18 aprile 2016, n. 50, alla Societ√† Casalini Libri S.p.a. per il rinnovo della sottoscrizione alla collezione personalizzata delle riviste EIO  Editoria italiana Online e alla collezione personalizzata delle riviste Franco Angeli Online su Torrossa Fulltext Platform  Anno 2022 </t>
  </si>
  <si>
    <t>03106600483-Casalini Libri</t>
  </si>
  <si>
    <t>4977.0</t>
  </si>
  <si>
    <t>12792100153-LIFE TECHNOLOGIES ITALIA</t>
  </si>
  <si>
    <t>202.5</t>
  </si>
  <si>
    <t xml:space="preserve">Affidamento diretto, ai sensi dellart. 36 comma 2 lett. a) del D.lgs. 50/2016 e ss.mm.ii., con applicazione dellart. 1, comma 2, D.L. 16 luglio 2020 n. 76 convertito in  legge 11 settembre 2020 n. 120, per la conclusione di un Accordo Quadro con unico operatore economico, ai sensi dellart. 54 comma 3 del D.lgs 50/2016 e ss.mm.ii., valido per 36 mesi, per la fornitura a somministrazione, resa franco d'imballo, trasporto e consegna di materiale di consumo necessari al funzionamento dei Laboratori chimici, fisici e biologici del Dipartimento di Scienze e Tecnologie dellUniversit√† degli Studi del Sannio  via Francesco De Sanctis, snc </t>
  </si>
  <si>
    <t>74889.93</t>
  </si>
  <si>
    <t>Servizio di pubblicit√† legale Bando SHerIL</t>
  </si>
  <si>
    <t>1936.58</t>
  </si>
  <si>
    <t>Pubblicazione volume "Segni sociali e propriet√† escludente.</t>
  </si>
  <si>
    <t>00289510638-Edizioni Scientifiche Italiane Spa</t>
  </si>
  <si>
    <t>5375.0</t>
  </si>
  <si>
    <t xml:space="preserve">Affidamento diretto ex art. 36, comma 2, lett. a) del D. Lgs. 50/2016, alla Societ√† LIFE TECHNOLOGIES ITALIA, Fil. della Life Technologies Europe B.V., con sede in Monza (MB), Via Tiepolo, n. 18 - Cap. 20900  P.IVA/C.F. 12792100153, per l'acquisto di materiale di consumo per il laboratorio di Biochimica presso il Dipartimento di Scienze e Tecnologie, che graver√† sui fondi FRA , di cui √® titolare  il Prof. Francesco Paolo Mancini.  </t>
  </si>
  <si>
    <t>1909.1</t>
  </si>
  <si>
    <t>Componenti per la realizzazione di sensoristica nell'ambito dello sviluppo di un sistema predittivo di allertamento</t>
  </si>
  <si>
    <t xml:space="preserve">03116641212-INLAB SRL </t>
  </si>
  <si>
    <t>6041.44</t>
  </si>
  <si>
    <t>Servizio di analisi con tecnologia Liminex</t>
  </si>
  <si>
    <t>2100.13</t>
  </si>
  <si>
    <t>Affidamento diretto ex art. 36, comma 2, lett. a) del D. Lgs. 50/2016, alla Societ√† MERCK LIFE SCIENCE S.r.l., con sede a Milano (MI), Via Monte Rosa, n.93 - Cap. 20149  P.IVA/C.F. 13209130155, per l'acquisto di materiale di consumo per i Laboratori del Dipartimento di Scienze e Tecnologie</t>
  </si>
  <si>
    <t xml:space="preserve">Affidamento diretto ex art. 36, comma 2, lett. a) del D. Lgs. 50/2016, alla Societ√† CHROMSERVICE S.r.l., con sede a Cisterna di Latina (LT), Via Appia Nord, 65 - Cap. 04012  P.IVA/C.F.05178411004, del servizio di riparazione Sistema GC-MS ITQ-Trace  per i laboratori didattici del  Dipartimento di Scienze e Tecnologie </t>
  </si>
  <si>
    <t>05178411004-CHROMSERVICE SRL</t>
  </si>
  <si>
    <t>1050.0</t>
  </si>
  <si>
    <t xml:space="preserve">Affidamento diretto ex art. 36, comma 2, lett. a) del D. Lgs. 50/2016, mediante ordine diretto sulla Piattaforma del Mercato Elettronico della Pubblica Amministrazione  - MEPA, per un importo pari ad Euro 5.600,00 oltre IVA, per lacquisto dellaggiornamento della licenza software FLAC3D del Laboratorio di Geologia Applicata e Geomonitoraggio del Dipartimento di Scienze e Tecnologie, nellambito del Progetto PON FSE-FESR Ricerca e Innovazione 2014/2020, Az. I.1 "Dottorati innovativi a caratterizzazione industriale", XXXIV Ciclo.  </t>
  </si>
  <si>
    <t>Affidamento diretto ex art. 36, comma 2, lett. a) del D. Lgs. 50/2016, alla Societ√† BIOTAGE Sweden AB, Vimpelgatan 5, SE-751 03 Uppsala Sweden, per l'acquisto del pacchetto strumentazione e software Isolera One, One Channel per il laboratorio di Chimica  del Dipartimento di Scienze e Tecnologie</t>
  </si>
  <si>
    <t>Affidamento diretto, ai sensi dellart.36, comma 2,l ettera a) del D. Lgs. 18 aprile 2016, n. 50, alla Societ√† TURNITIN, LLC per lacquisto della licenza duso   annuale   del   software   antiplagio   nella versione "Similarity  Anno 2022</t>
  </si>
  <si>
    <t>EU372010635-Turnitin</t>
  </si>
  <si>
    <t>2791.0</t>
  </si>
  <si>
    <t>Affidamento diretto ex art. 36, comma 2, lett. a) del D. Lgs. 50/2016, alla Societ√† BIO-RAD LABORATORIES S.r.l., con sede a Segrate (MI), Via Cellini, n.18/A  - Cap. 20090  P.IVA 00801720152, per l'acquisto di attrezzature tecnico-scientifiche per il laboratorio di Chimica presso il Dipartimento di Scienze e Tecnologie, relativo al progetto  DOTTPONXXXIII/GRAMAZIO- Budget 40% Dottorati , il cui responsabile scientifico √® la Prof.ssa Maria Moreno</t>
  </si>
  <si>
    <t>1749.76</t>
  </si>
  <si>
    <t>Acquisto di materiale di laboratorio richiesta dalla Prof.ssa Sciarrillo</t>
  </si>
  <si>
    <t>3100.71</t>
  </si>
  <si>
    <t xml:space="preserve">A.Q. SARSTEDT Srl - Acq. materiale di consumo per il lab. DST del Prof. Francesco Mancini </t>
  </si>
  <si>
    <t>Affidamento diretto, ai sensi dellart. 36, comma 2, lett. a) del D. Lgs. 50/2016, del servizio catering e coffee break per n. 40 persone, in occasione del Convegno di Studi ll Paesaggio culturale e antropico della Falanghina DOC come bene immateriale UNESCO organizzato dai professori  Marotta Giuseppe e Nazzaro Concetta che si terr√† a Benevento presso il Dipartimento Demm, il giorno 7 Luglio 2022.</t>
  </si>
  <si>
    <t>00061010625-Fabbriche Riunite Torrone SpA</t>
  </si>
  <si>
    <t>1400.0</t>
  </si>
  <si>
    <t xml:space="preserve">Affidamento diretto, ai sensi dellart.36, comma 2, lettera a) del D. Lgs. 18 aprile 2016, n. 50, alla Societ√† Casalini Libri S.p.a. per il rinnovo della sottoscrizione alla collezione personalizzata delle riviste EIO  Editoria italiana Online su Torrossa Fulltext Platform  Anno 2023 </t>
  </si>
  <si>
    <t>2083.0</t>
  </si>
  <si>
    <t>Affidamento diretto, ai sensi dellart.36, comma 2, lettera a) del D. Lgs. 18 aprile 2016, n. 50, alla Societ√† Poste Italiane S.p.a. per lattivazione del servizio di spedizione colli per lItalia e per lestero, ai fini dellattivazione ed erogazione del servizio di prestito interbibliotecario della Biblioteca Centralizzata di Ateneo.</t>
  </si>
  <si>
    <t>97103880585-Poste Italiane SpA Alt Sud Inc</t>
  </si>
  <si>
    <t>2459.0</t>
  </si>
  <si>
    <t>Acquisizione rivista digitale in adesione ad Accordo Quadro Lotto 2-G00601L002-RdO 2772530 - DR 341/2021</t>
  </si>
  <si>
    <t>102.0</t>
  </si>
  <si>
    <t>Realizzazione impianti innovativi presso la Smart Case, ubicata in via S. Pasquale.</t>
  </si>
  <si>
    <t>Affidamento diretto ex art. 36, comma 2, lett. a) del D. Lgs. 50/2016, alla Societ√† BECKMAN COULTER S.r.l., con sede in Cassina De Pecchi (MI), Via Roma,108 - Cap. 20060  P.IVA/C.F. 04185110154,per l'acquisto di materiale di consumo per per il Lab- 27/29 del  Dipartimento di Scienze e Tecnologie, relativo al progetto GEO-ARCHEO-Metodologie, strumenti e servizi innovativi per lo sviluppo del patrimonio culturale dei Geo-Archeo-Siti, di cui √® responsabile scientifico la Prof.ssa Roberta Imperatore.</t>
  </si>
  <si>
    <t>04185110154-BECKMAN COULTER SRL</t>
  </si>
  <si>
    <t>1066.32</t>
  </si>
  <si>
    <t>Affidamento diretto, per l'acquisto del servizio di  analisi di metatrascrittomica su campioni di V.vinifera metatranscriptomics Integrated Service, che graver√† sul fondo relativo al progetto Viticoltura di precisione per produzioni sostenibili di cui √® Responsabile scientififico il Prof. Carmine Guarino.</t>
  </si>
  <si>
    <t>08429831210-MENTOTECH S.R.L.</t>
  </si>
  <si>
    <t>12137.3</t>
  </si>
  <si>
    <t xml:space="preserve">Affidamento diretto ex art. 36, comma 2, lett. a) del D. Lgs. 50/2016, alla Societ√†  TECNO-BIOS S.r.l., con sede in Apollosa (BN), P.za G. Moscati, 8  S.S. Appia Km 254+900 - Cap.82030  P.IVA/C.F. 00872990627, dellacquisto di materiale di consumo per il Laboratorio di Ecologia presso il Dipartimento di Scienze e Tecnologie, che graver√† sul fondo del progetto FRA_2019_DeNicola, di cui √® titolare  la Prof.ssa Flavia De Nicola </t>
  </si>
  <si>
    <t>00872990627-TECNO-BIOS SRL</t>
  </si>
  <si>
    <t>ACCORDO QUADRO. Fornitura di materiale di laboratorio per ricerca della prof.ssa Lina Sabatino</t>
  </si>
  <si>
    <t>4161.12</t>
  </si>
  <si>
    <t>4267.83</t>
  </si>
  <si>
    <t>Affidamento diretto ex art. 36, comma 2, lett. a) del D. Lgs. 50/2016, alla Societ√† MICROTECH S.r.l., con sede a Napoli (NA), Viale Augusto,162 - Cap. 80125 - P.IVA /C.F.05791560633, per l'acquisto di materiale di consumo per il Lab- 27/29 del Dipartimento di Scienze e Tecnologie, relativo al progetto Veritas-Viticoltura di precisione per produzioni sostenibili di qualit√† con caratteristiche funzionali, di cui √® responsabile scientifico il Prof. Carmine Guarino.</t>
  </si>
  <si>
    <t>354.0</t>
  </si>
  <si>
    <t>Accordo quadro life ordine N¬∞007 del 04/11/2022</t>
  </si>
  <si>
    <t>1251.0</t>
  </si>
  <si>
    <t>Affidamento diretto ex art. 36, comma 2, lett. a) del D. Lgs. 50/2016, alla Societ√† BIOCLINICAL FORNITURE  S.a.s. con sede a Napoli (Na) in Via San Giacomo dei Capri, 125  Cap 80131 P.IVA/C.F. 03179910637, per l'acquisto di materiale di consumo per il Laboratorio di Geologia Regionale del Dipartimento di Scienze e Tecnologie, relativo al progetto Teano- Convenzione DISTAR Unina - Ciarcia - Studio stratigrafico e sedimentologico Foglio geologico n. 417 TEANO - CARG, di cui √® responsabile scientifico il Prof. Sabatino Ciarcia.</t>
  </si>
  <si>
    <t>Determina di affidamento diretto di Attrezzature Informatiche, tramite Accordo Quadro stipulato dallAteneo, per esigenze di ricerca e didattica presso il Dipartimento di Diritto, Economia, Management e Metodi, ai sensi dell'art. 36, co 2, lett. a) del D.Lgs. 50/2016 - Richiesta Dr.ssa Sonia Bovino</t>
  </si>
  <si>
    <t>405.66</t>
  </si>
  <si>
    <t>Apple PC portatile macbook Pro 13" e MAcBook Pro 16". FRA CIANCIO, FRA AMENTA</t>
  </si>
  <si>
    <t>4455.0</t>
  </si>
  <si>
    <t>Affidamento diretto ex art. 36, comma 2, lett. a) del D. Lgs. 50/2016, alla Societ√† TCI EUROPE N.V.  con sede a Zwijndrecht (Belgio), Boereveldseweg 6 Haven 1063-BE0467386679, per l'acquisto di materiale di consumo per il Laboratorio di Genetica presso il Dipartimento di Scienze e Tecnologie, relativo al progetto Fondo Dottorati DST- Budget 10% _Grasso, di cui √® tutor il Prof. Pasquale Vito.</t>
  </si>
  <si>
    <t xml:space="preserve">Affidamento diretto ex art. 36, comma 2, lett. a) del D. Lgs. 50/2016, alla Societ√† Societ√† MICROTECH S.r.l., con sede a Napoli (NA), Viale Augusto,162 - Cap. 80125  P.IVA /C.F. 05791560633, per l'acquisto di materiale di consumo per i Laboratori del Dipartimento di Scienze e Tecnologie. Det. n.   del    </t>
  </si>
  <si>
    <t>7333.7</t>
  </si>
  <si>
    <t>: Affidamento diretto ex art. 36, comma 2, lett. a) del D. Lgs. 50/2016, alla Societ√† MICROTECH S.r.l., con sede a Napoli (NA), Viale Augusto,162 - Cap. 80125  P.IVA /C.F. 05791560633, per l'acquisto di materiale di consumo per il Laboratorio di Genetica presso il Dipartimento di Scienze e Tecnologie, relativo al progetto Fondo Dottorati DST- Budget 10% _Borzillo, di cui √® tutor il Prof. Pasquale Vito.</t>
  </si>
  <si>
    <t xml:space="preserve">Acquisto materiali per laboratorio per esigenze di ricerca del prof. Mancini Francesco </t>
  </si>
  <si>
    <t>390.0</t>
  </si>
  <si>
    <t xml:space="preserve">Affidamento diretto ex art. 36, comma 2, lett. a) del D. Lgs. 50/2016, alla ditta di autonoleggio SELLITTO TURISMO Srl, con sede in Ceppaloni (BN), Via Confini,10 - Cap 82010 -  P.IVA/C.F. 01139860629, del servizio di noleggio minibus da 28 posti, in occasione di una campagna geologica istituzionale destinata agli studenti dei corsi di Laurea e Laurea Magistrale in  Scienze Geologiche.    </t>
  </si>
  <si>
    <t>Affidamento diretto, ai sensi dellart. 36 comma 2 lett. a) del D.lgs. 50/2016 e s.m.i., con applicazione dellart. 1, comma 2, D.L. 16 luglio 2020 n. 76 convertito in  legge 11 settembre 2020 n. 120, per la conclusione di un Accordo Quadro con unico operatore economico, ai sensi dellart. 54 comma 3 del D.lgs 50/2016 e s.m.i., valido per 36 mesi, per la fornitura a somministrazione, resa franco d'imballo, trasporto e consegna, di prodotti chimici e biologici necessari al funzionamento dei Laboratori chimici e biologici del Dipartimento di Scienze e Tecnologie dellUniversit√† degli Studi del Sannio  via Francesco De Sanctis, snc  82100 Benevento.</t>
  </si>
  <si>
    <t>Affidamento diretto, ai sensi dellart.36, comma 2, lettera a) del D. Lgs. 18 aprile 2016, n. 50, allEditore JoVE per la sottoscrizione dellabbonamento istituzionale alla banca dati online "Journal of Visualized Experiments (JoVE) Unlimited per il triennio 2022  2024.</t>
  </si>
  <si>
    <t>67500.0</t>
  </si>
  <si>
    <t>acquisto materiale per la Prof. Carrozziero</t>
  </si>
  <si>
    <t>3048.23</t>
  </si>
  <si>
    <t>Affidamento diretto ex art. 36, comma 2, lett. a) del D. Lgs. 50/2016, alla Societ√† MERCK LIFE SCIENCE S.r.l., con sede a Milano (MI), Via Monte Rosa, n.93 - Cap. 20149  P.IVA/C.F. 13209130155, per l'acquisto di materiale di consumo per i Laboratori  del  Dipartimento di Scienze e Tecnologie.</t>
  </si>
  <si>
    <t>2605.81</t>
  </si>
  <si>
    <t>Affidamento diretto, ai sensi dell art. 36, comma 2, lett. a) del D. Lgs. 50/2016, alla Societ√† PLANETEK ITALIA S.r.l.  con sede a Bari, Via Massaua,12 - Cap. 70132  P.IVA./C.F. 04555490723,per l'acquisto del servizio ImageryPack, abbonamento annuale di immagini satellitari ottiche, per il Laboratorio di Geologia Applicata e  Geomonitoraggio presso il Dipartimento di Scienze e Tecnologie, che graver√† sul progetto Progetto PON FSE-FESR Ricerca e Innovazione 2014/2020, Az. I.1 "Dottorati innovativi a caratterizzazione industriale", XXXIV Ciclo</t>
  </si>
  <si>
    <t>Affidamento diretto ex art. 36, comma 2, lett. a) del D. Lgs. 50/2016, alla Societ√† VENTURA GLOBAL S.r.l., con sede a Pove del Grappa (VI), Via Ulivi,2  - Cap.36020 - C.F./P.IVA 03708710243,del servizio di Locazione Operativa (Noleggio) del Sistema Agilent TapeStation 4150 per i   Lab - 27/29 del Dipartimento di Scienze e Tecnologie, relativo al progetto GEO-ARCHEO-Metodologie, strumenti e servizi innovativi per lo sviluppo del patrimonio culturale dei Geo-Archeo-Siti, di cui √® responsabile scientifico la Prof.ssa Maria Rosaria Senatore.</t>
  </si>
  <si>
    <t>03708710243-VENTURA GLOBAL Srl</t>
  </si>
  <si>
    <t>24432.0</t>
  </si>
  <si>
    <t>Fornitura di dieci notebook per le esigenze dei volontari per il Servizio Civile e 20 personal computer per le esigenze degli Uffici dellAmministrazione Centrale</t>
  </si>
  <si>
    <t>23177.79</t>
  </si>
  <si>
    <t>Adesione all'edizione 2021/2022 del Progetto Good Practice</t>
  </si>
  <si>
    <t>08591680155-MIP POLITECNICO DI MILANO - GRADUATE SCHOOL OF BUSINESS S.C.P.A.</t>
  </si>
  <si>
    <t>7000.0</t>
  </si>
  <si>
    <t>Affidamento diretto ex art. 36, comma 2, lett. a) del D. Lgs. 50/2016,   per la revisione grammaticale in inglese di articolo scientifico della Dottoranda Irene Pescatore il cui tutor √® la professoressa Gilda Antonelli del Centro di Responsabilit√† DEMM</t>
  </si>
  <si>
    <t>10052700969-NET WORKS</t>
  </si>
  <si>
    <t>Articolo Scientifico - oneri obbligatori di pubblicazione con affidamento diretto ex art. 36, comma 2, lett. a), del D. Lgs. 50/2016, oltre oneri intra-UE, su richiesta del Prof. Stefano M. Pagnotta del Laboratorio di Statistica /Bioinformatica del  Dipartimento di Scienze e Tecnologie.</t>
  </si>
  <si>
    <t xml:space="preserve">Sottoscrizione degli abbonamenti alle riviste digitali: - SVILUPPO &amp; ORGANIZZAZIONE edita da ESTE EDIZIONI SCIENTIFICHE TECNICHE EUROPEE SRL; - RIVISTA ITALIANA DI RAGIONERIA &amp; ECONOMIA AZIENDALE edita da RIREA; in adesione all'Accordo Quadro Lotto 2 - G00601L002 - RdO 2772530 </t>
  </si>
  <si>
    <t>232.2</t>
  </si>
  <si>
    <t>Affidamento diretto, ai sensi dellart.36, comma 2, lettera a) del D. Lgs. 18 aprile 2016, n. 50, alla Societ√† Guerri Mario s.a.s. per lacquisizione di n. 1 box in metallo per la restituzione dei libri e supporti multimediali</t>
  </si>
  <si>
    <t xml:space="preserve">04832360632-Guerri Mario sas di Margherita Guerri,05173030015-PROMAL </t>
  </si>
  <si>
    <t>3965.0</t>
  </si>
  <si>
    <t>Fornitura di un computer iMac per le esigenze della Unit√† Organizzativa Reti nell'a,bito dell'Accordo Quadro della fornitura di Personal Computer, Server, Notebook e Tablet</t>
  </si>
  <si>
    <t>1512.29</t>
  </si>
  <si>
    <t>Affidamento diretto, ai sensi dellart.36, comma 2, lettera a) del D. Lgs. 18 aprile 2016, n. 50, alla Societ√† TURNITIN, LLC per lacquisto della licenza duso annuale del software antiplagio nella versione "Similarity"</t>
  </si>
  <si>
    <t>3501.4</t>
  </si>
  <si>
    <t xml:space="preserve">Affidamento diretto, ai sensi dellart. 36, comma 2, lett. a) del D. Lgs. 50/2016, del servizio buffet alla ditta Bar Massimo, con sede in Benevento, Via Perasso n. 36- Cap. 82010  P.IVA/C.F. 00786030627,   in occasione del Seminario  Il fine vita e la dignit√† del morire che si terr√† a Benevento presso il Dipartimento di Diritto, Economia, Management e Metodi Quantitativi  DEMM il giorno 14 Dicembre 2022.  </t>
  </si>
  <si>
    <t>DNLBRN65R12A783I-BAR MASSIMO di Bruno D'aniello</t>
  </si>
  <si>
    <t>610.0</t>
  </si>
  <si>
    <t>Affidamento diretto, ai sensi dellart.36, comma 2, lettera a) del D. Lgs. 18 aprile 2016, n. 50, alla Societ√† estera AFFLUENCES per la sottoscrizione dellabbonamento al servizio informatico Affluences  Licenza oro per la durata di 12 mesi.</t>
  </si>
  <si>
    <t xml:space="preserve">FR41804166999-AFFLUENCES </t>
  </si>
  <si>
    <t>2000.0</t>
  </si>
  <si>
    <t>Fornitura di un notebook per le esigenze del Nucleo di Valutazione</t>
  </si>
  <si>
    <t>1555.8</t>
  </si>
  <si>
    <t>Spese per la pubblicazione e diffusione del Volume "Il diritto doganale tra normazione e comparazione"</t>
  </si>
  <si>
    <t>Fornitura di due switch ottici nell'ambito della Convenzione CONSIP Reti Locali 7 per il potenziamento della rete telematica di ateneo</t>
  </si>
  <si>
    <t>7316.8</t>
  </si>
  <si>
    <t>Affidamento diretto ex art. 36, comma 2, lett. a) del D. Lgs. 50/2016, alla Societ√† ECOSEARCH S.r.l., con sede in Montone (PG), Loc.Corlo,11a - Cap.06014  P.IVA 02292010549/C.F. 01919800605, dellacquisto di attrezzatura tecnico-scientifica per i laboratori didattici del  Dipartimento di Scienze e Tecnologie , che graver√† sul fondo relativo al progetto Funzionamento Laboratori DST, di cui √® titolare la Prof.ssa Maria Moreno</t>
  </si>
  <si>
    <t>Fornitura di access point e apparati di rete per il potenziamento della rete WIFI di ateneo, nell ambito dell Accordo Quadro di durata triennale, della fornitura di materiale informatico vario</t>
  </si>
  <si>
    <t>9531.31</t>
  </si>
  <si>
    <t>Richiesta Acquisti: spesa riparazione e manutenzione strumentazione laboratori di ricerca DST, Prof.ssa Moreno Maria</t>
  </si>
  <si>
    <t>06768650639-CONSUL SRL</t>
  </si>
  <si>
    <t>5976.0</t>
  </si>
  <si>
    <t xml:space="preserve">Affidamento diretto ex art. 36, comma 2, lett. a) del D. Lgs. 50/2016, alla Societ√† BIOMEETS CONSULTING, con sede in Carrer d'laba, 61  08005-  BARCELONA (SPAGNA),  per l'acquisto di materiale di consumo per il Lab-27 e il Laboratorio di Biologia Animale e Vegetale per lAmbiente e la Salute presso il Dipartimento di Scienze e Tecnologie </t>
  </si>
  <si>
    <t>191.0</t>
  </si>
  <si>
    <t>Fornitura di notebook per le esigenze del Delegato ai Rapporti internazionali, Prof. Biagio Simonetti</t>
  </si>
  <si>
    <t>2142.56</t>
  </si>
  <si>
    <t xml:space="preserve">Affidamento diretto, ai sensi dellart.36, comma 2, lettera a) del D. Lgs. 18 aprile 2016, n. 50, alla Societ√† Casalini Libri S.p.a. per il rinnovo della sottoscrizione alla collezione personalizzata delle riviste Franco Angeli Online su Torrossa Fulltext Platform  Anno 2023 </t>
  </si>
  <si>
    <t>3210.0</t>
  </si>
  <si>
    <t>Adesione Convenzione Consip Apparecchiature multifunzione 32 - Lotto 4 - Data di attivazione Agosto 2021 - Durata noleggio 60 mesi</t>
  </si>
  <si>
    <t>02298700010-Olivetti s.p.a.</t>
  </si>
  <si>
    <t>3263.05</t>
  </si>
  <si>
    <t>Affidamento diretto ex art. 36, comma 2, lett. a) del D. Lgs. 50/2016, alla Societ√† VODEN Medical Instruments S.p.A.  con sede a Meda (MB), Via della Vigna,2 - Cap. 20821  P.IVA./C.F. 03784450961, per l'acquisto di materiale di consumo per il Laboratorio di Genetica presso il Dipartimento di Scienze e Tecnologie, relativo al progetto Fondo Dottorati DST- Budget 10% _Borzillo, di cui √® tutor il Prof. Pasquale Vito.</t>
  </si>
  <si>
    <t xml:space="preserve">Affidamento diretto ex art. 36, comma 2, lett. a) del D. Lgs. 50/2016, alla struttura alberghiera Hotel Antiche Terme, con sede in Benevento (BN), Via Posillipo - Cap. 82100  P.IVA/C.F. 01470450626, relativo al pernottamento, dal 30 marzo al 6 aprile 2022, del Prof. Tiezzi, in occasione del Convegno Omic data, cancer subtyping and cluster characterization organizzato, presso il Dipartimento di Scienze e Tecnologie, dal Prof. Stefano M.Pagnotta.  </t>
  </si>
  <si>
    <t xml:space="preserve">01470450626-HOTEL ANTICHE TERME </t>
  </si>
  <si>
    <t>385.0</t>
  </si>
  <si>
    <t>Servizi tecnici di progettazione di livello definitivo ed esecutivo relativi ai Lavori di riqualificazione con efficientamento energetico di livello NZEB dell'edificio sede del DEMM di Via delle Puglie</t>
  </si>
  <si>
    <t>16028081004-DEKA PROGETTI,MNTFBA86M28C352D-Arch. Fabio Montesano con ruolo 01-MANDANTE,04873791216-STUDIO PROGETTAZIONI D'INGEGNERIA - SPI S.R.L. con ruolo 01-MANDANTE,00424850543-Cooprogetti soc. coop. con ruolo 02-MANDATARIA,PLMLCN71L08B963H-arch. Luciano Palmiero con ruolo 01-MANDANTE,03726321213-Arethusa srl con ruolo 01-MANDANTE,07843010633-Corvino + Multari srl con ruolo 02-MANDATARIA,PLTGCR73T27F839B-ING GIANCARLO POLITO con ruolo 01-MANDANTE,07606770639-STUDIO ARCHITETTURA DFT S.R.L. con ruolo 01-MANDANTE,03041470646-STUDIO TECNICO ASSOCIATO IANNICIELLO con ruolo 01-MANDANTE,CNTLEI71H10F839P-Architetto Conte Elio con ruolo 01-MANDANTE,04523101212-Di Girolamo Engineering con ruolo 02-MANDATARIA,ZCCMRA90L61I234C-impresa individuale/libero professionista con ruolo 01-MANDANTE,07789120636-S.IN.T.E.C. srl con ruolo 01-MANDANTE,BTTNRC53H04H431N-Geol. Enrico Bottiglieri con ruolo 01-MANDANTE,09109161217-MASTELLONE di CASTELVETERE ENGINEERING S.r.l. con ruolo 02-MANDATARIA,CRCNCL81T10A509W-DOTT. GEOL. NICOLA CARCHIA con ruolo 01-MANDANTE,PLTVNT90H15A717T-ING. VITANTONIO POLITO con ruolo 01-MANDANTE,02672340649-C-ENGINEERING SRL con ruolo 01-MANDANTE,SBLLNR82C65G482I-ING. ELEONORA SABLONE con ruolo 01-MANDANTE,05272840488-AEI PROGETTI SRL con ruolo 01-MANDANTE,05650480485-ROSSIPRODI ASSOCIATI SRL con ruolo 02-MANDATARIA,10135381001-E4E Engineering For Environment S.p.A.] con ruolo 01-MANDANTE,FSCTMS70L25F717L-Geologo Tommaso Fusco con ruolo 01-MANDANTE,TMSDDR73M25A783U-Arch. Diodoro Tomaselli con ruolo 01-MANDANTE,05299421007-STUDIO AMATI s.r.l. con ruolo 02-MANDATARIA</t>
  </si>
  <si>
    <t>03726321213-Arethusa srl con ruolo 01-MANDANTE,PLMLCN71L08B963H-arch. Luciano Palmiero con ruolo 01-MANDANTE,07843010633-Corvino + Multari srl con ruolo 02-MANDATARIA</t>
  </si>
  <si>
    <t>282685.16</t>
  </si>
  <si>
    <t>Affidamento diretto ex art. 36, comma 2, lett. a) del D. Lgs. 50/2016, alla Societ√† EUROCLONE S.p.A. a socio unico, con sede a Milano (MI), Via Spezia,1 - Cap. 20142  P.IVA/C.F. 08126390155, dell'acquisto di materiale di consumo per il laboratorio di  Biologia Molecolare  del  Dipartimento di Scienze e Tecnologie che graver√† sul fondo relativo al progetto Fondo 10% Dottorato Fosso Emanuele, di cui √® responsabile scientifico la Prof.ssa Maria Moreno</t>
  </si>
  <si>
    <t xml:space="preserve">Richiesta Acquisto anticorpi Accordo Quadro CIG 8994553BEF - CUP F84I19001150001 - FONDO PRIN2017 CIOFFI -  DITTA PRODOTTI GIANNI S.r.l.  </t>
  </si>
  <si>
    <t>1503.5</t>
  </si>
  <si>
    <t xml:space="preserve"> Fornitura di materiale di laboratorio per ricerca della prof.ssa Lina Sabatino </t>
  </si>
  <si>
    <t>4096.5</t>
  </si>
  <si>
    <t>Acquisto materiale di laboratorio per esigenze di ricerca della prof.ssa Sabatino Lina</t>
  </si>
  <si>
    <t>349.92</t>
  </si>
  <si>
    <t>Affidamento diretto, ai sensi dellart.36, comma 2, lettera a) del D. Lgs. 18 aprile 2016, n. 50, alla Societ√† EBSCO Information Services S.r.l per la sottoscrizione delle Special Publications della banca Lyell Collection delleditore Geological Society of London, per lannualit√† 2022.</t>
  </si>
  <si>
    <t>4009.0</t>
  </si>
  <si>
    <t>Affidamento diretto ex art. 36, comma 2, lett. a) del D. Lgs. 50/2016, alla Societ√† LIFE TECHNOLOGIES ITALIA, Fil. della Life Technologies Europe B.V., con sede in Monza (MB), Via Tiepolo, n. 18 - Cap. 20900  P.IVA/C.F. 12792100153, per l'acquisto di materiale di consumo per il Laboratorio di Genetica presso il Dipartimento di Scienze e Tecnologie, relativo al progetto Fondo Dottorati DST- Budget 10% _Borzillo, di cui √® tutor il Prof. Pasquale Vito</t>
  </si>
  <si>
    <t>Trattativa Diretta MEPA per Affidamento diretto ai sensi dellart. 36, comma 2, lettera a), del D. Lgs. 18 aprile 2016, n. 50, alla Cooperativa Epsilon s.c.ar.l. per un servizio di catalogazione in SBNWeb di fondi bibliografici moderni custoditi nel Pozzo Librario della Biblioteca Centralizzata di Ateneo</t>
  </si>
  <si>
    <t>01180580621-EPSILON</t>
  </si>
  <si>
    <t>17950.0</t>
  </si>
  <si>
    <t>Affidamento diretto ex art. 36, comma 2, lett. a) del D. Lgs. 50/2016, alla Societ√† MERCK LIFE SCIENCE S.r.l., con sede a Milano (MI), Via Monte Rosa, n.93 - Cap. 20149  P.IVA/C.F. 13209130155, per l'acquisto di materiale di consumo per il Laboratorio di Fisiologia del  Dipartimento di Scienze e Tecnologie, che graver√† sul fondo relativo al progetto Fondi FRA_Silvestri, di cui √® titolare la Prof.ssa Elena Silvestri.</t>
  </si>
  <si>
    <t>Affidamento diretto ex art. 36, comma 2, lett. a) del D. Lgs. 50/2016, alla Societ√† SENTIEON Inc. 160 E.Tasman Dr. Suite 208 con sede a San Jose  CA (California) - 95134, per l'acquisto del Software Sentieon per il laboratorio di Bioinformatica  del Dipartimento di Scienze e Tecnologie, che graver√† sul fondo relativo al progetto PRIN2017, di cui √® responsabile scientifico il  Prof. Michele Ceccarelli</t>
  </si>
  <si>
    <t>Servizio di consulenza per la redazione di ina relazione su analisi del rapporto O16/O18 per la ricostruzione dell'ambiente naturale del Lago di San Giuliano, Matera</t>
  </si>
  <si>
    <t>80088230018-IS04</t>
  </si>
  <si>
    <t>1390.0</t>
  </si>
  <si>
    <t>MEPA -Acq. Materiale di consumo per Lab.di Geologia Applicata  del DST - Prof.ssa Paola Revellino</t>
  </si>
  <si>
    <t>Affidamento diretto ex art. 36, comma 2, lett. a) del D. Lgs. 50/2016, alla Societ√† TECHNOLOGIES ITALIA, Fil. della Life Technologies Europe B.V., con sede in Monza (MB), Via Tiepolo, n. 18 - Cap. 20900  P.IVA/C.F. 12792100153, per l'acquisto di materiale di consumo per il Laboratorio di Biologia Molecolare presso il Dipartimento di Scienze e Tecnologie, relativo al progetto NEON- Nanofotonica per nuovi approcci diagnostici e terapeutici in Oncologia e Neurologia di cui √® responsabile scientifico la Prof.ssa Lina Sabatino</t>
  </si>
  <si>
    <t>Affidamento della fornitura di attrezzature per le esigenze del Dipartimento di Ingegneria nell'ambito Progetto "Dipartimento di Eccellenza"</t>
  </si>
  <si>
    <t xml:space="preserve">13824321007-FLERODO SRL </t>
  </si>
  <si>
    <t>47027.73</t>
  </si>
  <si>
    <t>0.0</t>
  </si>
  <si>
    <t xml:space="preserve">Affidamento diretto ex art. 36, comma 2, lett. a) del D. Lgs. 50/2016, alla Societ√† E.M.C2 S.r.l., con sede a Saronno (VA), Via T.Grossi, 6 - Cap. 21047  P.IVA/C.F.03557230129 del servizio di sopralluogo per diagnosi e preventivo riparazione dello strumento Facsverse del laboratorio di Biologia Molecolare del  Dipartimento di Scienze e Tecnologie.  </t>
  </si>
  <si>
    <t>Affidamento diretto ex art. 36, comma 2, lett. a) del D. Lgs. 50/2016, alla Societ√† TRISKEM INTERNATIONAL, con sede in Francia, 3 - Rue des Champs Geons -35170 Bruz , per l'acquisto di materiale di consumo per per il Lab- 27/29 del Dipartimento di Scienze e Tecnologie, relativo al progetto VERITAS- Viticoltura di precisione per produzioni sostenibili di qualit√† con caratteristiche funzionali, di cui √® responsabile scientifico il Prof. Carmine Guarino</t>
  </si>
  <si>
    <t xml:space="preserve">FRA93848972-TRISKEM INTERNATIONAL </t>
  </si>
  <si>
    <t>1161.0</t>
  </si>
  <si>
    <t>Affidamento diretto ex art. 36, comma 2, lett. a) del D. Lgs. 50/2016, alla Societ√† Societ√† MICROTECH S.r.l., con sede a Napoli (NA), Viale Augusto,162 - Cap. 80125  P.IVA /C.F. 05791560633,per l'acquisto di materiale di consumo per il Laboratorio di Biologia Animale  presso il Dipartimento di Scienze e Tecnologie, relativo al progetto Veritas-Viticoltura di precisione per produzioni sostenibili di qualit√† con caratteristiche funzionali, CUPB84I20000820005 di cui √® responsabile scientifico la Prof.ssa Rosaria Sciarrillo</t>
  </si>
  <si>
    <t>3470.04</t>
  </si>
  <si>
    <t>Servizio di hosting per il dominio clausunisannio.it per il biennio 2022-2023</t>
  </si>
  <si>
    <t>02495250603-Server Plan s.r.l.</t>
  </si>
  <si>
    <t>420.0</t>
  </si>
  <si>
    <t>Affidamento diretto, ai sensi dellart.36, comma 2, lettera a) del D. Lgs. 18 aprile 2016, n. 50, alla Societ√† AlGen s.r.l. (MBE) per l'attivazione del servizio di spedizione colli per lItalia e per l'estero, ai fini dell'attivazione ed erogazione del servizio di prestito interbibliotecario della Biblioteca Centralizzata di Ateneo per il periodo ottobre 2022 - dicembre 2023.</t>
  </si>
  <si>
    <t>03995740614-Gruppo Andromeda Srl,01523880621-Algen srl</t>
  </si>
  <si>
    <t>01523880621-Algen srl</t>
  </si>
  <si>
    <t>Affidamento diretto ai sensi dellart. 36, comma 2, lettera a), del D. Lgs. 18 aprile 2016, n. 50, alla Societ√† ECOREFILL S.rl. per la fornitura di etichette bianche non rimovibili antimanomissione per le esigenze della Biblioteca Centralizzata di Ateneo.</t>
  </si>
  <si>
    <t>02279000489-ECOREFILL S.R.L</t>
  </si>
  <si>
    <t>4237.0</t>
  </si>
  <si>
    <t>Volume su attivit√† di ricerca del richiedente</t>
  </si>
  <si>
    <t>02874520014-G. GIAPPICHELLIEDITRE S.R.L.</t>
  </si>
  <si>
    <t>4180.0</t>
  </si>
  <si>
    <t>A.Q. Sarstedt Srl - Materiale di consumo per il laboratorio DST della Prof.ssa Canzoniero</t>
  </si>
  <si>
    <t>Affidamento diretto ex art. 36, comma 2, lett. a) del D. Lgs. 50/2016, alla Societ√† LIFE SCHARLAB ITALIA  S.r.l., con sede a Riozzo di Cerro al Lambro (MI), Via A. De Gasperi, 56  - Cap.20070 - C.F./P.IVA 09802470154,  per l'acquisto di materiale di consumo del Lab.27-29 presso il Dipartimento di Scienze e Tecnologie, che graver√† sul fondo Dottorato_10%Prigioniero</t>
  </si>
  <si>
    <t>Affidamento diretto ai sensi dellart. 36, comma 2, lettera a), del D. Lgs. 18 aprile 2016, n. 50, alla Societ√† Horizons Unlimited S.p.A. per l'adesione alla piattaforma MLOL-MediaLibraryOnLine  EDICOLA/EBOOK/PRESTITI EBOOK</t>
  </si>
  <si>
    <t>04164060370-HORIZONS UNLIMITED H.U.-S.P.A.</t>
  </si>
  <si>
    <t>7553.0</t>
  </si>
  <si>
    <t>Affidamento diretto ex art. 36, comma 2, lett. a) del D. Lgs. 50/2016, alla Societ√† CLINISCIENCES S.r.l., con sede in Guidonia Montecelio (RM), Via Maremmana Inferiore, 378 - Cap. 00012  P.IVA/C.F. 12657941006, per l'acquisto di materiale di consumo per il Laboratorio di Biologia Molecolare  presso il Dipartimento di Scienze e Tecnologie, che graver√† sui fondi FRA , di cui √® titolare  il Prof. Massimo Pancione</t>
  </si>
  <si>
    <t>Affidamento diretto ex art. 36, comma 2, lett. a) del D. Lgs. 50/2016, alla Societ√† MERCK LIFE SCIENCE S.r.l., con sede a Milano (MI), Via Monte Rosa, n.93 - Cap. 20149  P.IVA/C.F. 13209130155, per l'acquisto di materiale di consumo per il Laboratorio di Biochimica presso il Dipartimento di Scienze e Tecnologie, che graver√† sui fondi FRA, di cui √® titolare  il Prof. Francesco Paolo Mancini.</t>
  </si>
  <si>
    <t>395.1</t>
  </si>
  <si>
    <t>Affidamento diretto ex art. 36, comma 2, lett. a) del D. Lgs. 50/2016, alla NETZSCH Geraetebau GmbH  con sede a Verona (MI), Via Albere,132 - Cap. 37137 P.IVA./C.F. 03339280236, per il servizio di manutenzione dello strumento STA 449 F3, attrezzatura tecnico-scientifica del Laboratorio di Mineralogia e Petrografia presso il Dipartimento di Scienze e Tecnologie, che graver√† sui fondi del progetto Analisi GEO- Gruppo Langella , di cui √® titolare  il Prof. Mariano Mercurio</t>
  </si>
  <si>
    <t>Affidamento diretto ex art. 36, comma 2, lett. a) del D. Lgs. 50/2016, alla Societ√† LIFE TECHNOLOGIES ITALIA, Fil. della Life Technologies Europe B.V., con sede in Monza (MB), Via Tiepolo, n. 18 - Cap. 20900  P.IVA/C.F. 12792100153, dellacquisto di materiale di consumo per il Lab- 27/29 del  Dipartimento di Scienze e Tecnologie, relativo al progetto GEO-ARCHEO-Metodologie, strumenti e servizi innovativi per lo sviluppo del patrimonio culturale dei Geo-Archeo-Siti, di cui √® responsabile scientifico la Prof.ssa Maria Rosaria Senatore.</t>
  </si>
  <si>
    <t>11445.76</t>
  </si>
  <si>
    <t>Affidamento diretto ex art. 36, comma 2, lett. a) del D. Lgs. 50/2016, alla Societ√† TECAN ITALIA S.r.l., con sede a Cernusco sul Naviglio (MI), Via Brescia,65 - Cap. 20063  P.IVA 02750460962 e C.F.09615590156, dellacquisto di attrezzatura tecnico-scientifica per i laboratori didattici del  Dipartimento di Scienze e Tecnologie , che graver√† sul fondo relativo al progetto Funzionamento Laboratori DST, di cui √® titolare la Prof.ssa Maria Moreno</t>
  </si>
  <si>
    <t>Affidamento diretto ex art. 36, comma 2, lett. a) del D. Lgs. 50/2016, alla Societ√† VWR International  S.r.l., con sede a Milano (MI), Via San Giusto, 85 - Cap. 20153  P.IVA /C.F. 12864800151,per l'acquisto di materiale di consumo per il Lab- 27/29 del Dipartimento di Scienze e Tecnologie, nell'ambito del Progetto "Viticoltura di precisione per produzioni sostenibili di qualit√† con caratteristiche funzionali (VERITAS),</t>
  </si>
  <si>
    <t xml:space="preserve">Affidamento diretto ex art. 36, comma 2, lett. a) del D. Lgs. 50/2016, alla struttura alberghiera HERACLEA HOTEL, con sede in Policoro (MT), Via Lido - Cap. 75025  P.IVA/C.F. 00146550777, del servizio alberghiero dal 6 al 9 giugno 2022 in occasione di una Campagna geologica istituzionale destinata agli studenti dei corsi di Laurea e Laurea Magistrale in  Scienze Geologiche. </t>
  </si>
  <si>
    <t>Affidamento diretto, ai sensi dellart.36, comma 2, lettera a) del D. Lgs. 18 aprile 2016, n. 50, alla Societ√† La Tribuna S.r.l. per la sottoscrizione dellabbonamento annuale, a decorrere dalla data di attivazione, alla banca dati online ForoPlus, evoluzione di Foro Italiano Alfa. Anno 2022</t>
  </si>
  <si>
    <t>01107460337-La Tribuna</t>
  </si>
  <si>
    <t>2623.0</t>
  </si>
  <si>
    <t>Affidamento diretto ex art. 36, comma 2, lett. a) del D. Lgs. 50/2016, alla struttura alberghiera Imperial Hotel di Lavecchia Marco &amp; C. snc, con sede in Brienza (PZ), Via Nazionale - Cap. 85050  P.IVA/C.F. 00863170767, del servizio alberghiero dal 27 al 31 maggio 2022 per 12 studenti e un docente in occasione della campagna istituzionale del corso di studio di Rilevamento  Geologico</t>
  </si>
  <si>
    <t xml:space="preserve">Affidamento diretto ex art. 36, comma 2, lett. a) del D. Lgs. 50/2016, mediante ordine diretto sulla Piattaforma del Mercato Elettronico della Pubblica Amministrazione  - MEPA, per l'acquisto di attrezzatura tecnico-scientifica del Laboratorio di Geologia Applicata del Dipartimento di Scienze e Tecnologie, che graver√† sui fondi del progetto Convenzione- Montaguto Regione Campania, di cui √® titolare  il Prof. Francesco M. Guadagno.  </t>
  </si>
  <si>
    <t xml:space="preserve">Fornitura di n. 1 Citrometro Cell Sorter a flusso continuo FACSCELESTA 2 LASER 10 </t>
  </si>
  <si>
    <t>00803890151-Becton Dickinson Italia Spa</t>
  </si>
  <si>
    <t>90000.0</t>
  </si>
  <si>
    <t>Affidamento diretto, ai sensi dellart.36, comma 2, lettera a) del D. Lgs. 18 aprile 2016, n. 50, alla Societ√† Bureau van Dijk Edizioni Elettroniche S.p.a. per la sottoscrizione alla banca dati ORBIS EUROPE FULL per il triennio 2022 - 2024.</t>
  </si>
  <si>
    <t>11139860156-BUREAU VAN DIJK EDIZIONI ELETTRONICHE S.P.A.</t>
  </si>
  <si>
    <t>69800.0</t>
  </si>
  <si>
    <t>Ordine diretto d'acquisto MEPA per l'affidamento, ai sensi dell'art.36, comma 2, lettera a) del D. Lgs. 18 aprile 2016, n. 50, all'Editore Wolters Kluver Italia S.r.l. per rinnovo dell'abbonamento alla banca-dati on-line "Leggi d'Italia" per il periodo luglio 2022 a giugno 2025.</t>
  </si>
  <si>
    <t>10209790152-WOLTERS KLUWER ITALIA S.R.L.</t>
  </si>
  <si>
    <t>19231.0</t>
  </si>
  <si>
    <t>Impaginazione e pubblicazione con casa editrice ARACNE del testo:" La logica dell'inferno nel rischio del collasso sociale ed ambientale"</t>
  </si>
  <si>
    <t>15662501004-ADIUIVARE Srl</t>
  </si>
  <si>
    <t>1352.0</t>
  </si>
  <si>
    <t>Affidamento diretto, ai sensi dell art. 36, comma 2, lett. a) del D. Lgs. 50/2016, alla Societ√† CRISEL INSTRUMENTS S.r.l.  con sede a Roma (RM), Via M.Battistini,177 - Cap. 00167  P.IVA./C.F. 04703401002,per l'acquisto del servizio di manutenzione sistema ION FLUO Crisel Intruments per il Laboratorio di Farmacologia e Tossicologia n¬∞64 presso il Dipartimento di Scienze e Tecnologie, che graver√† sul progetto DST-Manutenzione Laboratori, il cui responsabile scientifico √® la Prof.ssa Maria Moren</t>
  </si>
  <si>
    <t>Affidamento diretto ex art. 36, comma 2, lett. a) del D. Lgs. 50/2016, alla Societ√† AUROGENE S.r.l., con sede a Roma (RM), Via dei Lucani, n.51-53-55 - Cap. 00185  P.IVA 10926691006, per un importo pari ad uro 661,00 oltre IVA, per lacquisto di materiale di consumo per il Laboratorio di Biochimica presso il Dipartimento di Scienze e Tecnologie, che graver√† sui fondi FRA, di cui √® titolare  il Prof. Francesco Paolo Mancini.</t>
  </si>
  <si>
    <t>Affidamento diretto per acquisto di ricambi per strumentazione del dipartimento di Scienze Prof.ssa. Moreno</t>
  </si>
  <si>
    <t>03179910637-bioclinical forniture sas</t>
  </si>
  <si>
    <t>1600.0</t>
  </si>
  <si>
    <t>Per intervento tecnico con acquisto di ricambi per strumentazione in dotazione al Dipartimento di scienze, titolare  Prof.ssa. Maria Moreno</t>
  </si>
  <si>
    <t>1100.0</t>
  </si>
  <si>
    <t>Acquisto presso l'Associazione Italiana Biblioteche (AIB) di quattro (4) licenze per l'utilizzo del sistema di classificazione Web Dewey Italiana  Anno 2022</t>
  </si>
  <si>
    <t>Affidamento diretto ex art. 36, comma 2, lett. a) del D. Lgs. 50/2016, alla Societ√† GIBERTINI ELETTRONICA S.r.l., con sede a Novate Milanese (MI), Via Bellini, 37  - Cap. 20026  P.IVA 04434200152, per l'acquisto di strumentazione e materiale di consumo per il Laboratorio di Biologia Animale, Genetica e Risorse Alimentari presso il Dipartimento di Scienze e Tecnologie, relativo al progetto DOTTPORXXXIV-Budget 40%DST-Dottorati POR Campania 2014/2020 ASSE III -Dottorati Innovativi a caratterizzazione industriale-Di Meo Maria Chiara, di cui √® responsabile scientifico il Prof. Ettore Varricchio.</t>
  </si>
  <si>
    <t>04434200152-GIBERTINI ELETTRONICA SRL</t>
  </si>
  <si>
    <t>7047.0</t>
  </si>
  <si>
    <t xml:space="preserve"> Fornitura di Access Point e controller per le esigenze di connettivit√† WIFI di alcune sedi dell'ateneo</t>
  </si>
  <si>
    <t>08850800965-SENETIC ITALIA SRL</t>
  </si>
  <si>
    <t>2223.34</t>
  </si>
  <si>
    <t>Strumentazione di laboratorio per implementare il settore istologia</t>
  </si>
  <si>
    <t>01758800161-FKV SRL</t>
  </si>
  <si>
    <t>9471.0</t>
  </si>
  <si>
    <t>Affidamento diretto ex art. 36, comma 2, lett. a) del D. Lgs. 50/2016, alla Societ√† SCHARLAB ITALIA  S.r.l., con sede a Riozzo di Cerro al Lambro (MI), Via A. De Gasperi, 56  - Cap.20070 - C.F./P.IVA 09802470154, per un importo pari ad  1.453,18 oltre IVA, per lacquisto di materiale di consumo per il Lab- 27/29 del Dipartimento di Scienze e Tecnologie, relativo al progetto "Viticoltura di precisione per produzioni sostenibili di qualit√† con caratteristiche funzionali (VERITAS), di cui √® responsabile scientifico il Prof. Carmine Guarino.</t>
  </si>
  <si>
    <t>Affidamento diretto ex art. 36, comma 2, lett. a) del D. Lgs. 50/2016, alla Societ√† EDIZIONI TASSINARI S.r.l., con sede a Firenze (FI), Viale dei Mille, 90 - Cap. 50131  P.IVA/C.F. 01967860485, della pubblicazione di un articolo scientifico nel volume di Studi Costieri n.29 , che graver√† sul fondo FRA_Fenomeni di erosione costiera nel Cilento meridionale, di cui √® titolare  il Prof. Alessio Valente del Dipartimento di Scienze e Tecnologie,</t>
  </si>
  <si>
    <t>01967860485-EDIZIONI TASSINARI SRL</t>
  </si>
  <si>
    <t>366.0</t>
  </si>
  <si>
    <t xml:space="preserve">Affidamento diretto ex art. 36, comma 2, lett. a) del D. Lgs. 50/2016, alla Societ√† LIFE TECHNOLOGIES ITALIA, Fil. della Life Technologies Europe B.V., con sede in Monza (MB), Via Tiepolo, n. 18 - Cap. 20900  P.IVA/C.F. 12792100153, per l'acquisto di materiale di consumo per attivit√† di ricerca presso il Lab- 27/29 del Dipartimento di Scienze e Tecnologie, nell'ambito del Progetto "Viticoltura di precisione per produzioni sostenibili di qualit√† con caratteristiche funzionali (VERITAS), </t>
  </si>
  <si>
    <t>Affidamento diretto, ai sensi dell art. 36, comma 2, lett. a) del D. Lgs. 50/2016, alla Societ√† LIFE TECHNOLOGIES ITALIA, Fil. della Life Technologies Europe B.V., con sede in Monza (MB), Via Tiepolo, n. 18 - Cap. 20900  P.IVA/C.F. 12792100153, per un importo pari ad euro 2.579,99 oltre IVA, per lacquisto di materiale di consumo per il Laboratorio di Farmacologia e Tossicologia n¬∞64 presso il Dipartimento di Scienze e Tecnologie.</t>
  </si>
  <si>
    <t>Affidamento diretto, ai sensi dellart. 36 comma 2 lett. a) del D.lgs. 50/2016 e s.m.i., con applicazione dellart. 1, comma 2, D.L. 16 luglio 2020 n. 76 convertito in  legge 11 settembre 2020 n. 120, per la conclusione di un Accordo Quadro con unico operatore economico, ai sensi dellart. 54 comma 3 del D.lgs 50/2016 e s.m.i., valido per 36 mesi, per la fornitura a somministrazione, resa franco d'imballo, trasporto e consegna, di prodotti Knockout (KO) validated antibodies necessari al funzionamento dei Laboratori chimici e biologici del Dipartimento di Scienze e Tecnologie dellUniversit√† degli Studi del Sannio  via Francesco De Sanctis, snc  82100 Benevento</t>
  </si>
  <si>
    <t>27679.26</t>
  </si>
  <si>
    <t>Affidamento diretto ex art. 36, comma 2, lett. a) del D. Lgs. 50/2016, alla Societ√† BIO-RAD LABORATORIES S.r.l., con sede a Segrate (MI), Via Cellini, n.18/A  - Cap. 20090  P.IVA 00801720152, per l'acquisto di materiale di consumo per il laboratorio di Genetica presso il Dipartimento di Scienze e Tecnologie, relativo al progetto Inbiomed  Prodotti Innovativi ad alto contenuto biotecnologico per il settore medicale, di cui √® responsabile scientifico il Prof. Pasquale Vito.</t>
  </si>
  <si>
    <t>2251.95</t>
  </si>
  <si>
    <t>Affidamento diretto, ai sensi dellart. 36 comma 2 lett. a) del D.lgs. 50/2016 e s.m.i. (strumenti di negoziazione e strumenti di acquisto), con applicazione dellart. 1, comma2, D.L. 16 luglio 2020 n. 76 convertito in  legge 11 settembre 2020 n. 120, per la conclusione di un Accordo Quadro con unico operatore economico, ai sensi dellart.54 comma 3 del D.lgs 50/2016 e s.m.i., valido per 36 mesi, per la fornitura a somministrazione, resa franco d'imballo, trasporto e consegna, di prodotti reagenti per separazione e analisi proteine necessari al funzionamento dei Laboratori chimici e biologici del Dipartimento di Scienze e Tecnologie dellUniversit√† degli Studi del Sannio  via Francesco De Sanctis, snc  82100 Benevento</t>
  </si>
  <si>
    <t>Affidamento diretto ex art. 36, comma 2, lett. a) del D. Lgs. 50/2016, alla Societ√† Editoriale Scientifica Srl -pubblicazione del volume dal titolo "Innovare senza brevettare. Resistenze a start-up italiane "della  Prof.ssa Gilda Antonelli.</t>
  </si>
  <si>
    <t>00787110634-Editoriale Scientifica Srl</t>
  </si>
  <si>
    <t>2250.0</t>
  </si>
  <si>
    <t>Affidamento diretto, ai sensi dellart.36, comma 2, lettera a) del D. Lgs. 18 aprile 2016, n. 50, alla Societ√† Tirrenia s.r.l. per lacquisizione di n. 1 box in metallo per la restituzione dei libri e supporti multimediali per le esigenze della sede di via Delle Puglie della Biblioteca Centralizzata di Ateneo</t>
  </si>
  <si>
    <t xml:space="preserve">00261560106-Tirrenia s.r.l. </t>
  </si>
  <si>
    <t>2860.0</t>
  </si>
  <si>
    <t>Servizi di campionamento per analisi stratigrafiche presso Villa Perrotta</t>
  </si>
  <si>
    <t>DLLPLA90E08A509U-lithos di Paolo Dello russo</t>
  </si>
  <si>
    <t>4960.0</t>
  </si>
  <si>
    <t>Fornitura di licenze Microsoft Windows 2019 Server per l'erogazione della didattica in modalit√† blended</t>
  </si>
  <si>
    <t>02409740244-MEDIA DIRECT s.r.l.</t>
  </si>
  <si>
    <t>916.0</t>
  </si>
  <si>
    <t>Affidamento diretto, ai sensi dellart.36, comma 2, lettera a) del D. Lgs. 18 aprile 2016, n. 50, alla Societ√† La Tribuna S.r.l. per la sottoscrizione dellabbonamento annuale, a decorrere dalla data di attivazione, alla banca dati online ForoPlus, evoluzione di Foro Italiano Alfa.</t>
  </si>
  <si>
    <t>Affidamento di Servizi Tecnici Aggiuntivi per esigenze indifferibili connesse alla realizzazione di un laboratorio di Ricerca Sperimentale dellarea dellingegneria civile, con particolare riferimento allingegneria sismica, geotecnica e costruzioni idrauliche- Ing. Mandarino</t>
  </si>
  <si>
    <t>MNDNNL61L13A783M-Studio tecnico ing. Antonello Mandarino</t>
  </si>
  <si>
    <t>37793.6</t>
  </si>
  <si>
    <t>Affidamento diretto al dott. Costantino Auricchio, nato ad Ottaviano (NA) il 15/05/1968, medico chirurgo, specialista in Medicina dello Sport, con studio in Ottaviano (NA) alla Via Roma 83, del servizio preordinato all'esecuzione di visite mediche per n. 24 studenti.</t>
  </si>
  <si>
    <t xml:space="preserve">RCCCTN68E15G190C-Dott. Costantino Auricchio </t>
  </si>
  <si>
    <t>900.0</t>
  </si>
  <si>
    <t xml:space="preserve">Acquisizione del servizio di utilizzo in SaaS della Piattaforma di gestione dei concorsi SELECO </t>
  </si>
  <si>
    <t>00451920771-I.B,S. INFORMATICA BASILICATA SISTEMI SRL</t>
  </si>
  <si>
    <t>9000.0</t>
  </si>
  <si>
    <t>Mepa- acquisto di materiale per laboratorio, per esigenze di ricercadel Dipartimento di Scienze e Tecnologie Prof. Carmine Guarino</t>
  </si>
  <si>
    <t>316.0</t>
  </si>
  <si>
    <t>Affidamento diretto ex art. 36, comma 2, lett. a) del D. Lgs. 50/2016, alla Societ√† alla Societ√† PRODOTTI GIANNI S.r.l., con sede a Milano (MI), Via M.F.Quintiliano,30 - Cap. 20138  C.F./P.IVA 08860270969, per l'acquisto di materiale di consumo per il Laboratorio di Biologia Animale presso il Dipartimento di Scienze e Tecnologie, relativo al progetto FRA_2020/2021 , di cui √® responsabile scientifico la Prof.ssa Marina Paolucci.</t>
  </si>
  <si>
    <t>1880.45</t>
  </si>
  <si>
    <t xml:space="preserve">Pubblicazioni articolo scientifico MDPI _ Sciarrillo </t>
  </si>
  <si>
    <t>1667.75</t>
  </si>
  <si>
    <t>Acquisizione di un monte ore per lo sviluppo di personalizzazioni dell'applicativo HR per la gestione delle rilevazioni presenze</t>
  </si>
  <si>
    <t>2720.0</t>
  </si>
  <si>
    <t>Affidamento diretto, ai sensi dellart.36, comma 2, lettera a) del D. Lgs. 18 aprile 2016, n. 50, alla Societ√† Giuffr√® Francis Lefebvre per lacquisizione della Nuova Enciclopedia Del Diritto GFL in versione cartacea + archivio storico + bibliografia</t>
  </si>
  <si>
    <t>2532.0</t>
  </si>
  <si>
    <t>Acquisto di licenze triennali antivirus</t>
  </si>
  <si>
    <t>03494820164-BLADE INFORMATICA S.R.L.</t>
  </si>
  <si>
    <t>10400.0</t>
  </si>
  <si>
    <t>Spese per pubblicazioni scientifiche MDPI _ Prof.ssa Paolucci</t>
  </si>
  <si>
    <t>1662.2</t>
  </si>
  <si>
    <t>Noleggio del campo per Torneo di Padel, organizzato dall'Associazione studentesca Etabetagamma, che si svolger√† a Benevento nel mese di luglio del 2021 con la partecipazione di 12 coppie di studenti dell'Ateneo</t>
  </si>
  <si>
    <t>92080010629-ASD Tennis Team Pepe</t>
  </si>
  <si>
    <t>Acquisizione di giornate/uomo per lo sviluppo applicativo-funzionale del sito web di ateneo</t>
  </si>
  <si>
    <t>10500.0</t>
  </si>
  <si>
    <t xml:space="preserve">Affidamento del servizio di intermediazione tecnologica verso la piattaforma pubblica SIOPE+, compreso il servizio di conservazione a norma </t>
  </si>
  <si>
    <t>02260390220-Argentea S.r.l.</t>
  </si>
  <si>
    <t>4600.0</t>
  </si>
  <si>
    <t>abbonamento alla rivista digitale in pdf dal titolo "Rivista di diritto privato" - Anni 2018-2023</t>
  </si>
  <si>
    <t>06249000727-Cacucci Editore S.a.s. di Nicola Cacucci &amp; C.</t>
  </si>
  <si>
    <t>364.5</t>
  </si>
  <si>
    <t>Pubblicazione articolo scientifico Frontiers_ Prof. Guarino</t>
  </si>
  <si>
    <t>CHE114168540-Frontiers Media SA</t>
  </si>
  <si>
    <t>2433.0</t>
  </si>
  <si>
    <t>Pubblicazione articolo scientifico Frontiers_ Silvestri</t>
  </si>
  <si>
    <t>2437.0</t>
  </si>
  <si>
    <t>Pubblicazione articolo scientifico Frontiers_ Rocco</t>
  </si>
  <si>
    <t>Pubblicit√† legale - avviso di esito su "Il Sannio Quotidiano" e su "Il Giornale"</t>
  </si>
  <si>
    <t>01633200629-Il Guerriero s.c.a.r.l.</t>
  </si>
  <si>
    <t>560.0</t>
  </si>
  <si>
    <t>Affidamento diretto, ex art. 36, comma 2, lett.a), del D. Lgs. 50/2016, per acquisto di Camere Digitali Moticam,  per la manutenzione del microscopio in dotazione del Dipartimento di Scienze e Tecnologie, mediante Ordine diretto di Acquisto  ODA sul Mercato Elettronico della Pubblica Amministrazione - MEPA</t>
  </si>
  <si>
    <t>07057740156-SENECO SRL</t>
  </si>
  <si>
    <t>1809.24</t>
  </si>
  <si>
    <t xml:space="preserve">Fornitura di apparecchiature di rete per le esigenze della nuova sede (CUBO) del Dipartimento DST </t>
  </si>
  <si>
    <t>15423.09</t>
  </si>
  <si>
    <t>Servizi PROFIS Sistemi Soluzioni Gestionali e Servizi Fiscali  Modulo 730/2020</t>
  </si>
  <si>
    <t>01001050622-Computer &amp; di Salierno &amp; Formato SnC</t>
  </si>
  <si>
    <t>Affidamento diretto ex art. 36, comma 2, lett. a) del D. Lgs. 50/2016, per la fornitura di licenze annuali Webex</t>
  </si>
  <si>
    <t>4100.0</t>
  </si>
  <si>
    <t xml:space="preserve">Spese per pubblicazioni scientifiche Frontiers _ Dott.ssa Cioffi </t>
  </si>
  <si>
    <t>2497.88</t>
  </si>
  <si>
    <t>Affidamento diretto ex art. 36, comma 2, lett. a) del D. Lgs. 50/2016,  mediante trattativa diretta n. 1765728 sulla Piattaforma del Mercato Elettronico della Pubblica Amministrazione  - MEPA,  per lacquisizione di n. 1 Workstation HP PC WKS TOWER Z2 G5 I7-10700 16G  e n. 1 Pc PC All In One - HP All-in-One 22-df0059nl Bundle con Kit Mouse e Tastiera,  per le esigenze di ricerca del Prof. Rampone Salvatore</t>
  </si>
  <si>
    <t xml:space="preserve">01387750621-IN.FORMA.TI.KA SRL Unipersonale </t>
  </si>
  <si>
    <t>2008.2</t>
  </si>
  <si>
    <t>Affidamento diretto ex art. 36, comma 2, lett. a) del D. Lgs. 50/2016,   alla Societ√†  W.T.C. OFFICE  Srl : BOTTEGA GRAFICA del Servizio di Traduzione Testo Scientifico ItalianoInglese, ai fini della pubblicazione di unattivit√†  di ricerca scientifica sulla rivista Euro-Asia Tourism Studies Journal nellambito del progetto Fondi di ricerca FRA 2019, responsabile scientifico Prof.ssa Ilaria Greco</t>
  </si>
  <si>
    <t>15516831003-WTC OFFICE SRL</t>
  </si>
  <si>
    <t>Fornitura certificati di firma digitale remota</t>
  </si>
  <si>
    <t>2475.0</t>
  </si>
  <si>
    <t>Pubblicazioni articolo scientifico MDPI_ Maresca</t>
  </si>
  <si>
    <t>604.3</t>
  </si>
  <si>
    <t>analisi varianti SNPs previsti dal progetto Dicovale</t>
  </si>
  <si>
    <t>GB273975163-NOVOGENE</t>
  </si>
  <si>
    <t>12500.0</t>
  </si>
  <si>
    <t>Affidamento diretto alla Societ√† NADA2008 S.r.l. per la fornitura di etichette bianche non rimovibili antimanomissione, marca "Avery", modello "L6146-20", per le esigenze della Biblioteca Centralizzata di Ateneo.</t>
  </si>
  <si>
    <t>09234221001-NADA 2008</t>
  </si>
  <si>
    <t>4076.94</t>
  </si>
  <si>
    <t>Acquisto di attrezzature informatiche per il Progetto FUSION su richiesta del prof. Matteo Savino</t>
  </si>
  <si>
    <t>01471180628-NOVA INFORMATION TECHNOLOGY SCRL</t>
  </si>
  <si>
    <t>6980.0</t>
  </si>
  <si>
    <t>Software PROFIS Sistemi Soluzioni Gestionali e Servizi Fiscali - Modulo 730/2021 e relativi servizi</t>
  </si>
  <si>
    <t>Abbonamento riviste cartacee per il 2021</t>
  </si>
  <si>
    <t>1183.5</t>
  </si>
  <si>
    <t>Affidamento diretto ex art. 36, comma 2, lett. a) del D. Lgs. 50/2016, alla Societ√† ECOSEARCH S.r.l., con sede in Montone (PG), Loc.Corlo,11a - Cap.06014  P.IVA 02292010549/C.F. 01919800605, dell'acquisto di attrezzature tecnico-scientifiche per il Laboratorio di Ecologia presso il Dipartimento di Scienze e Tecnologie, che graver√† sul fondo del progetto  FRA_DeNicola, di cui √® titolare  la Prof.ssa Flavia De Nicola</t>
  </si>
  <si>
    <t>Affidamento diretto ex art. 36, comma 2, lett. a) del D. Lgs. 50/2016, alla Societ√† LIFE TECHNOLOGIES ITALIA, Fil. della Life Technologies Europe B.V., con sede in Monza (MB), Via Tiepolo, n. 18 - Cap. 20900  P.IVA/C.F. 12792100153, per l'acquisto di materiale di consumo per il Lab.27-29 presso il Dipartimento di Scienze e Tecnologie, che graver√† sui fondi FRA_2021Guarino , di cui √® titolare  il Prof. Carmine Guarino</t>
  </si>
  <si>
    <t>621.22</t>
  </si>
  <si>
    <t xml:space="preserve">A.Q. EUROCLONE SPA - Richiesta materiali di consumo per il laboratorio DST della  Prof.ssa Canzoniero </t>
  </si>
  <si>
    <t>Affidamento diretto ex art. 36, comma 2, lett. a) del D. Lgs. 50/2016, alla Societ√† MICROTECH S.r.l., con sede a Napoli (NA), Viale Augusto,162 - Cap. 80125 - P.IVA /C.F.05791560633, per l'acquisto di materiale di consumo per il Lab- 27/29 Sistemi integrati di Biologia Animale e vegetale del Dipartimento di Scienze e Tecnologie, relativo al progetto Veritas-Viticoltura di precisione per produzioni sostenibili di qualit√† con caratteristiche funzionali, di cui √® responsabile scientifico il Prof. Carmine Guarino.</t>
  </si>
  <si>
    <t>Affidamento diretto, ai sensi dellart.36, comma 2, lettera a) del D. Lgs. 18 aprile 2016, n. 50, alla Societ√† Giulio Einaudi Editore S.p.A. per la fornitura di testi monografici.</t>
  </si>
  <si>
    <t>08367150151-GIULIO EINAUDI EDITORE S.P.A</t>
  </si>
  <si>
    <t>1078.0</t>
  </si>
  <si>
    <t>Affidamento diretto ex art. 36, comma 2, lett. a) del D. Lgs. 50/2016, alla Societ√† SCHARLAB ITALIA  S.r.l., con sede a Riozzo di Cerro al Lambro (MI), Via A. De Gasperi, 56  - Cap.20070 - C.F./P.IVA 09802470154,per l'acquisto di materiale di consumo per il Lab- 27/29 del Dipartimento di Scienze e Tecnologie, relativo al progetto GEO-ARCHEO-Metodologie, strumenti e servizi innovativi per lo sviluppo del patrimonio culturale dei Geo-Archeo-Siti, di cui √® responsabile scientifico la Prof.ssa Maria Rosaria Senatore.</t>
  </si>
  <si>
    <t>643.42</t>
  </si>
  <si>
    <t>Affidamento diretto ex art. 36, comma 2, lett. a) del D. Lgs. 50/2016, alla Societ√† EN.CO. Srl Unipersonale con sede a Spinea (VE) - Via Filande 13 - CAP 30038 - P.IVA n.00481870277, per l'acquisto del Software per analisi granulometrica per il laboratorio di Geologia Stratigrafica del Dipartimento di Scienze e Tecnologie, che graver√† sul fondo relativo al progetto FRA2017_Senatore, di cui √® titolare la Prof.ssa Maria Rosaria Senatore</t>
  </si>
  <si>
    <t>sistema DANTEC DYNAMICS, costituito da CPU XEON ODA MEPA 5483671 DECRETO 114 2020 -</t>
  </si>
  <si>
    <t>11096070153-Fluxoptica SRL</t>
  </si>
  <si>
    <t>Affidamento diretto, ai sensi dellart.36, comma 2, lettera a) del D. Lgs. 18 aprile 2016, n. 50, alla EBSCO Information Services S.r.l per la sottoscrizione della risorsa "The New York Times  - Academic Site License  Anno 2022</t>
  </si>
  <si>
    <t>2880.0</t>
  </si>
  <si>
    <t>Trattativa Diretta MEPA per affidamento diretto ai sensi dellart. 36, comma 2, lettera a), del D. Lgs. 18 aprile 2016, n. 50, alla Societ√† EBSCO Information Services S.r.l.  per il rinnovo dellabbonamento EBSCO Discovery Service per il periodo 01 giugno 2022 -31 dicembre 2022.</t>
  </si>
  <si>
    <t>6000.0</t>
  </si>
  <si>
    <t>Affidamento diretto, ai sensi dellarticolo 36, comma 2, lett. a), del D. Lgs 18 aprile 2016 n. 50 e ss.mm.e ii, del servizio di banqueting per n. 4 Buffet di benvenuto</t>
  </si>
  <si>
    <t>01401040629-HAITI SOCIETA COOPERATIVA</t>
  </si>
  <si>
    <t>2916.0</t>
  </si>
  <si>
    <t>Affidamento diretto ex art. 36, comma 2, lett. a) del D. Lgs. 50/2016, alla Societ√† CLINISCIENCES  S.r.l., con sede in Guidonia Montecelio (RM), Via Maremmana Inferiore, 378 - Cap. 00012  P.IVA/C.F. 12657941006, per l'acquisto di materiale di consumo per il Laboratorio di Biologia Molecolare  presso il Dipartimento di Scienze e Tecnologie, che graver√† sui fondi FRA , di cui √® titolare  il Prof. Massimo Pancione.</t>
  </si>
  <si>
    <t>Affidamento diretto, ai sensi dell art. 36, comma 2, lett. a) del D. Lgs. 50/2016, alla Societ√† S.I.A.L. S.r.l.  con sede a ROMA (RM), Via Giovanni Devoti, 14 - Cap. 00167  P.IVA.00959981002/C.F. 01086690581, per l'acquisto di materiale di consumo per il Laboratorio di Farmacologia e Tossicologia n¬∞64 presso il Dipartimento di Scienze e Tecnologie, che graver√† sul progetto NeON-Nanofotonica per nuovi approcci diagnostici e terapeutici in Oncologia e Neurologia, il cui responsabile scientifico √® la Prof.ssa Lina Sabatino</t>
  </si>
  <si>
    <t>Richiesta di Offerta (R.d.O.) sul Mepa ai sensi dell'articolo 36, comma 2, lett. b) del Decreto Legislativo 50/2016 e ss.mm.ii, per l'affidamento, a mezzo Accordo Quadro di durata triennale, della fornitura di Personal Computer, Server, Notebook e Tablet, con invito rivolto a tutti gli Operatori Economici abilitati al Bando MEPA Beni Categoria Informatica, Elettronica, Telecomunicazioni e Macchine per Ufficio, da aggiudicarsi ad unico Operatore Economico</t>
  </si>
  <si>
    <t>Lotto 2: fornitura di abbonamenti a periodici print, periodici print + online, periodici e-only e a banche dati online italiani e stranieri (di nazionalit√† appartenenti o non appartenenti allUnione Europea)</t>
  </si>
  <si>
    <t>02938930589-CELDES SRL,RSCMCR67L51L781C-Libreria Scientifica Rescalli ,02511020162-LEGGERE SRL,11164410018-EBSCO INFORMATION SERVICES SRL,05329570963-LAFELTRINELLI INTERNET BOOKSHOP</t>
  </si>
  <si>
    <t>73600.0</t>
  </si>
  <si>
    <t>Accordo Quadro gas</t>
  </si>
  <si>
    <t>Richiesta di Offerta (R.d.O.) sul Mepa ai sensi dello articolo 36, comma 2, lett. b) del Decreto Legislativo 50/2016 e ss.mm.ii, per lo affidamento, a mezzo Accordo Quadro di durata triennale, della fornitura di materiale informatico vario, con invito rivolto a tutti gli Operatori Economici abilitati al Bando MEPA Beni Categoria Informatica, Elettronica Telecomunicazioni e Macchine per Ufficio, da aggiudicarsi ad unico Operatore Economico</t>
  </si>
  <si>
    <t xml:space="preserve">Intervento di riorganizzazione del Pozzo Librario della Biblioteca Centralizzata di Ateneo </t>
  </si>
  <si>
    <t>09247301212-Inarte Srls</t>
  </si>
  <si>
    <t>39750.0</t>
  </si>
  <si>
    <t>Accordo Quadro con un unico operatore economico per l'appalto dei lavori di manutenzione ordinaria e straordinaria degli immobili in propriet√† o in uso all'Ateneo per la durata di 3 anni</t>
  </si>
  <si>
    <t>01255030627-COSTRUZIONI LOMBARDI ACHILLE S.R.L.,01403080623-CASAMASSA COSTRUZIONI SRL,00908000623-AL.G.ASS. S.R.L.,01190850626-MATURO COSTRUZIONI SRL,CCCNLN64H10D755O-COCCHIARELLA NICOLANTONIO,01483330625-EFFEDUE COSTRUZIONI S.R.L.,01515190625-FALC ENGINEERING SRL</t>
  </si>
  <si>
    <t>988000.0</t>
  </si>
  <si>
    <t>realizzazione tre aule telematiche per la didattica a distanza Trattativa Diretta MEPA 1355033</t>
  </si>
  <si>
    <t>04619910633-CONUS SRL</t>
  </si>
  <si>
    <t>39859.0</t>
  </si>
  <si>
    <t>Richiesta di Offerta (R.d.O.) sul MEPA ai sensi dellart. 36, comma 2, lettera b) del D.Lgs 50/2016, e ss.mm.ii., per laffidamento, a mezzo Accordo Quadro, di durata biennale, della fornitura di Personal Computer, Server, Notebook e Tablet</t>
  </si>
  <si>
    <t xml:space="preserve">Accordo Quadro con tre operatori economici per laffidamento di servizi tecnici di architettura ed ingegneria riguardanti gli immobili dellUniversit√† degli Studi del Sannio </t>
  </si>
  <si>
    <t>GMICRN89E44A783V-Caterina Giameo Architetto,DNNDDR66B04A783Z-Ing. Diodoro DE NUNZIO,BRNCMR56D03A783J-Cosimo Riccardo Barone,DLCRFL57A21A783P-ING. RAFFAELE DELCOGLIANO,VCCLSE67S24L086U-Studio di Ingegneria ed Architettura Vecchi Eliseo,DMSGPP65D26A783B-INGEGNERE DE MASI GIUSEPPE,01752380624-FIVE ENGINEERING SRL,09289531213-BDG INGEGNERIA,GRRGPL69C20A509W-ing. Gianpaolo Girardi,02292050602-Studio Professionale associato Progest,RIOSVT63P17G386T-Geom. Iorio Salvatore,GRNMRS63E42E589Q-ARCH. MARIA ROSARIA GUARINO,DLGNTN68P15L219V-Dott.Arch DEL GAUDIO ANTONIO,01656810627-SIMAR SRL,FRLDNT73C24B963R-Studio di Ingegneria Donato Fiorillo,MTTGPP73A01A783Y-Arch. Giuseppe Mottola,LNGLGU67R24A783V-Luigi Luongo,BRBCLL60M25E990N-ARCHITETTO CARLO ILDO BARBERIO,CNTGPP65C09C557J-Architetto Giuseppe Cantone,PNZRFL67A02A509M-Studio Tecnico Geom. Panza Raffaele,00846070621-ITALIANA PROGETTI I.PRO,SMPVLN77C57A399X-ARCH EVELIN SAMPIETRO,SPSNCL69B09D650H-ING. Esposito Nicola,ZZIGLC82P26A431C-Geologo Gianluca Izzo,CNNGRD76M12Z700P-PER. IND. GERARDO CANNELLA,CRBGPP55H26A783A-ARCHITETTO Giuseppe Carbone,DGNMHL59A01F839O-Studio di Progettazione Integrata "MDG" di  Michele DI Gennaro Architetto,NRDSFN70M07A783Q-dott. geometra Stefano Nardone,07504040630-SPESL SRL,QNTMRN91T21F839W-DOTT. ING. MORENO QUINTINO,04447820657-SAF&amp;P ENGINEERING SRL,LMBCMN56A21H894L-ING. LOMBARDI CARMINE,DLSGRS68A12A509W-ing. Generoso De Lisio,PRRSVR70L12A783C-arch. Saverio Parrella,LNELRT66H26L004K-LEONE LORETO,01737690626-STUDIODANNA SRL,GRZSVT66L19C129S-Ing. Salvatore Garzia,MSTCLL50M09H892D-Ing. Achille Mastrocinque,PRTNNF43S13F104O-ing.Antonio Preti,SRNCRC73B02A783O-CIRIACO SERINO,CRPCRL81L16A783O-Carlo Carpentieri,STBPLA68T02A512H-ARCH. STABILE PAOLO,LGRGPP88P02A783F-INGENGERE GIUSEPPE LOGORANO,DTOMNN83D59D390B-Architetto Marianna Odato,TMSDDR73M25A783U-Arch. Diodoro Tomaselli,FRNFNC68H24G813F-ING.FRANCESCO FARINA,CRLSVT79M06F839Y-Salvatore Carleo,SLLVTR65T05A783C-Ing. Vittorio Solla,NNCLSN61E11A783C-Ing. Iannace Alessandro,TMSDDR73M25A783U-Arch. Diodoro Tomaselli con ruolo 01-MANDANTE,FSCTMS70L25F717L-Geologo Tommaso Fusco con ruolo 01-MANDANTE,03041470646-STUDIO TECNICO ASSOCIATO IANNICIELLO con ruolo 01-MANDANTE,RBRNLP70C29C245O-RUBORTONE NICOLA PALMINO con ruolo 02-MANDATARIA,DVTVTR66R06F511B-Arch. Vittorio Devito con ruolo 01-MANDANTE,CVLMRC75T05G942H-geol. Marco Cavallaro con ruolo 01-MANDANTE,PRRSVR70L12A783C-arch. Saverio Parrella con ruolo 01-MANDANTE,02596380614-C.S.I. srl con ruolo 02-MANDATARIA,08887621210-CIRELLA ENGINEERING Srls con ruolo 01-MANDANTE,BMOVTR92H20F839K-Arch. Vittorio Boemio con ruolo 01-MANDANTE,BTTNRC53H04H431N-Geol. Enrico Bottiglieri con ruolo 01-MANDANTE,09109161217-MASTELLONE di CASTELVETERE ENGINEERING S.r.l. con ruolo 02-MANDATARIA,02761680640-BARRETTA &amp; PARTNERS S.R.L. con ruolo 01-MANDANTE,PPCDNL82C22A783S-STUDIO DI GEOLOGIA DANIELE PIPICELLI con ruolo 01-MANDANTE,MNDNNL61L13A783M-Studio tecnico ing. Antonello Mandarino con ruolo 01-MANDANTE,01207330620-GENERAL ENGINEERING SRL con ruolo 02-MANDATARIA,04523101212-Di Girolamo Engineering con ruolo 01-MANDANTE,PLTGCR73T27F839B-ING GIANCARLO POLITO con ruolo 02-MANDATARIA,drlgpp65p13a783l-arch. Giuseppe Iadarola con ruolo 01-MANDANTE,VLINTN65P06A783U-ing. Antonio Viola con ruolo 01-MANDANTE,03006750644-Geologo Pasquale Clemente con ruolo 01-MANDANTE,CVNFNC68C22A783K-arch. Francesco Covino con ruolo 01-MANDANTE,PRNGLC69D04A783U-arch. Gianluca Principe con ruolo 01-MANDANTE,VRLVNI67P16A783X-Dott.Ing.Verlingieri Ivan con ruolo 02-MANDATARIA</t>
  </si>
  <si>
    <t>PRRSVR70L12A783C-arch. Saverio Parrella con ruolo 01-MANDANTE,DVTVTR66R06F511B-Arch. Vittorio Devito con ruolo 01-MANDANTE,CVLMRC75T05G942H-geol. Marco Cavallaro con ruolo 01-MANDANTE,02596380614-C.S.I. srl con ruolo 02-MANDATARIA,BMOVTR92H20F839K-Arch. Vittorio Boemio con ruolo 01-MANDANTE,08887621210-CIRELLA ENGINEERING Srls con ruolo 01-MANDANTE,BTTNRC53H04H431N-Geol. Enrico Bottiglieri con ruolo 01-MANDANTE,09109161217-MASTELLONE di CASTELVETERE ENGINEERING S.r.l. con ruolo 02-MANDATARIA,04523101212-Di Girolamo Engineering con ruolo 01-MANDANTE,PLTGCR73T27F839B-ING GIANCARLO POLITO con ruolo 02-MANDATARIA</t>
  </si>
  <si>
    <t>209142.5</t>
  </si>
  <si>
    <t>Lavori di riqualificazione dei prospetti SUD ed EST dell'immobile denominato Palazzo San Domenico, mediante il ricorso al Bonus Facciate</t>
  </si>
  <si>
    <t>01881650616-COSTRUZIONI DE.M.AL. SRL,01190850626-MATURO COSTRUZIONI SRL,02483170367-I.M.E.SRL,06206891217-R.C.R. RESTAURI S.R.L.,05641980726-MANUTENZIONI SRL,04925950653-SAMOA RESTAURI SRL</t>
  </si>
  <si>
    <t>04925950653-SAMOA RESTAURI SRL</t>
  </si>
  <si>
    <t>150768.57</t>
  </si>
  <si>
    <t>Acquisizione riviste cartacee in adesione ad Accordo Quadro Lotto 2-G00601L002-RdO 2772530 - DR 341/2021</t>
  </si>
  <si>
    <t>344.0</t>
  </si>
  <si>
    <t>Lotto 1: fornitura di monografie scientifiche e/o didattiche e di altre tipologie di materiale a carattere monografico su supporto analogico o digitale, quali Cd-ROM, DVD, film, carte geografiche, foto aeree, e-book, etc., edite da case editrici italiane e straniere (di nazionalit√† appartenenti o non appartenenti allUnione Europea), per un importo stimato pari ad  60.000,00 (sessantamila/00);</t>
  </si>
  <si>
    <t>47220.0</t>
  </si>
  <si>
    <t>Lotto II  C.I.G.: 8682759764, C.U.P.: F85F21000840005, Complesso Immobiliare denominato EX POSTE DI VIA TRAIANO</t>
  </si>
  <si>
    <t>01143770624-RICCI COSTRUZIONI</t>
  </si>
  <si>
    <t>299187.56</t>
  </si>
  <si>
    <t>Lotto III  C.I.G.: 8682763AB0, C.U.P.: F86C18000480006, Complesso Immobiliare denominato COMPLESSO DI SAN AGOSTINO</t>
  </si>
  <si>
    <t>01483060628-CONSORZIO STABILE MEDIL Societ√† consortile per azioni</t>
  </si>
  <si>
    <t>455429.22</t>
  </si>
  <si>
    <t>RAD384_articolo scientifico - oneri obbligatori di pubblicazione con affidamento diretto ex art. 36, comma 2, lett. a), del D. Lgs. 50/2016, per un importo pari a euro 2.020,23 oltre oneri intra UE su richiesta del professore Mariano Mercurio afferente al Dipartimento di Scienze e Tecnologie</t>
  </si>
  <si>
    <t>2020.23</t>
  </si>
  <si>
    <t>inizio 11/11/2023, ultimazione 15/11/2023</t>
  </si>
  <si>
    <t>AQ Servizi di Catering- Lotto II: Affidamento di n. 1 Light Lunch_semplice in occasione  del Convegno del Convegno dal titolo Disuguaglianze, Stato, Welfare. Presentazione del  XXI RAPPORTO INPS, previsto in data 19 dicembre 2022 presso il Dipartimento DEMM dellUniversit√† degli Studi del Sannio</t>
  </si>
  <si>
    <t>01706300629-P.C. SRL</t>
  </si>
  <si>
    <t>inizio 19/01/2023, ultimazione 19/01/2023</t>
  </si>
  <si>
    <t>Realizzazione impianto di rilevazione fumi per ristrutturazione presso il complesso immobiliare denominato Sant'Agostino, sito in via De Nicastro.</t>
  </si>
  <si>
    <t>01646560621-Global Security Borrelli s.r.l.</t>
  </si>
  <si>
    <t>34900.0</t>
  </si>
  <si>
    <t>inizio 18/01/2023</t>
  </si>
  <si>
    <t>Affidamento della copertura assicurativa denominata Infortuni cumulativa per il periodo compreso tra le ore 24.00 del 31 dicembre 2022 e le ore 24.00 del 31 dicembre 2023</t>
  </si>
  <si>
    <t>00409920584-Generali Italia S.p.A.</t>
  </si>
  <si>
    <t>6468.0</t>
  </si>
  <si>
    <t>inizio 31/12/2022, ultimazione 31/12/2023</t>
  </si>
  <si>
    <t>Secondo corso UNIRU - quota aggiuntiva</t>
  </si>
  <si>
    <t xml:space="preserve">97556790018-COINFO </t>
  </si>
  <si>
    <t>350.0</t>
  </si>
  <si>
    <t>inizio 21/12/2022, ultimazione 21/12/2022</t>
  </si>
  <si>
    <t>Abbonamento annuale "Il Mattino.it"</t>
  </si>
  <si>
    <t>11476541005-Ced Digital &amp; Servizi</t>
  </si>
  <si>
    <t>192.3</t>
  </si>
  <si>
    <t>inizio 21/12/2022, ultimazione 20/12/2023</t>
  </si>
  <si>
    <t>2¬∞ Corso Unicontract 2022</t>
  </si>
  <si>
    <t>inizio 20/12/2022, ultimazione 20/12/2022</t>
  </si>
  <si>
    <t>RAD395 materiale informatico in adesione AQ_Prof. Marinelli</t>
  </si>
  <si>
    <t>992.48</t>
  </si>
  <si>
    <t>inizio 19/12/2022</t>
  </si>
  <si>
    <t>RAD 403 405 406 413 417_ Richieste per attrezzature informatiche in adesione ad Accordo Quadro</t>
  </si>
  <si>
    <t>6029.09</t>
  </si>
  <si>
    <t>RAD430_Affidamento diretto, ai sensi dellart. 36, comma 2, lett. a), del D. Lgs. 50/2016, per un importo pari ad euro 350,00 oltre IVA, per lacquisizione di servizi di ristorazione al fine di supportare lorganizzazione del primo evento di beneficenza da parte della comunit√† studentesca UNING previsto per il giorno 20 dicembre 2022, su richiesta del Direttore del Dipartimento di Ingegneria</t>
  </si>
  <si>
    <t xml:space="preserve">LPRNGL82C49A783T-TAKE AWAY di ANGELA LEPORE </t>
  </si>
  <si>
    <t>inizio 16/12/2022</t>
  </si>
  <si>
    <t>AQ Servizi di Catering- Lotto II: Affidamento di n. 1 Light Lunch_semplice in occasione della Visita della Commissione di Esperti Valutatori (CEV) prevista nei giorni 14, 15 e 16 dicembre 2022 presso lUniversit√† degli Studi del Sannio</t>
  </si>
  <si>
    <t>inizio 16/12/2022, ultimazione 16/01/2023</t>
  </si>
  <si>
    <t>RAD382 _410 Materiale informatico prof. Daponte</t>
  </si>
  <si>
    <t>1864.17</t>
  </si>
  <si>
    <t>AQ Servizi di Catering- Lotto I: Affidamento di n. 3 Coffee Break_rinforzati in occasione della Visita della Commissione di Esperti Valutatori (CEV) prevista nei giorni 14, 15 e 16 dicembre 2022 presso lUniversit√† degli Studi del Sannio</t>
  </si>
  <si>
    <t>01231650621-Giantomasi Giulia</t>
  </si>
  <si>
    <t>750.0</t>
  </si>
  <si>
    <t>inizio 16/12/2022, ultimazione 19/12/2022</t>
  </si>
  <si>
    <t>RAD428_Affidamento diretto, ai sensi dell art. 36, comma 2, lett.a), del D. Lgs.50/2016, relativo alla fornitura, per un importo pari ad euro 4.988,00 IVA esclusa al 22%, di apparecchiature per laboratori, nellambito delle attivit√† di ricerca del progetto Dipartimenti di Eccellenza per le esigenze dei laboratori essere presso il Dipartimento di Ingegneria, mediante Ordine Diretto di Acquisto  ODA sul Mercato Elettronico della Pubblica Amministrazione MEPA.</t>
  </si>
  <si>
    <t>CFLBGI74D15A783I-Facchiano Ricambi Store di Cefalo Biagio</t>
  </si>
  <si>
    <t>4988.0</t>
  </si>
  <si>
    <t>RAD402_Affidamento diretto, ai sensi dellart. 36, comma 2, lett. a), del D. Lgs. 50/2016, per un importo pari ad euro 9.663,00 oneri intraUE esclusi, per lacquisto di apparecchiature per telerilevamento, nellambito delle attivit√† di ricerca del progetto Dipartimenti di Eccellenza per le esigenze dei Laboratori del gruppo di Telecomunicazioni, presso il Dipartimento di Ingegneria</t>
  </si>
  <si>
    <t>00000000000-Theia Space</t>
  </si>
  <si>
    <t>9663.0</t>
  </si>
  <si>
    <t>RAD425_Affidamento diretto, ex art. 36, comma 2, lett.a), del D. Lgs. 50/2016, mediante Ordine Diretto di Acquisto con ricorso ad Operatore Economico presente nell'elenco telematico di Ateneo per un servizio di autonoleggio con conducente da effettuarsi il giorno 19 dicembre 2022 per un importo pari ad euro 440,00 iva inclusa al 10%.</t>
  </si>
  <si>
    <t>01417570627-AUTONOLEGGI MAZZARELLI SRL</t>
  </si>
  <si>
    <t>400.0</t>
  </si>
  <si>
    <t>inizio 15/12/2022, ultimazione 18/12/2022</t>
  </si>
  <si>
    <t>440.0</t>
  </si>
  <si>
    <t>RAD391 - oneri obbligatori per servizi di pubblicazione e accesso ai database di LIGO con affidamento diretto ex art. 36, comma 2, lett. a), del D. Lgs. 50/2016, per un importo pari a USD 770,00 oltre oneri EXTRA UE su richiesta del professore Vincenzo Pierro afferente al Dipartimento di Ingegneria.</t>
  </si>
  <si>
    <t>00000000000-CALIFORNIA INSTITUTE OF TECHNOLOGY CALTECH</t>
  </si>
  <si>
    <t>770.0</t>
  </si>
  <si>
    <t>Interventi impiantistici a servizio attrezzature tecnologiche DST ex ENEL</t>
  </si>
  <si>
    <t>00272580630-Graded S.p.A.</t>
  </si>
  <si>
    <t>64008.2</t>
  </si>
  <si>
    <t>inizio 15/12/2022, ultimazione 21/12/2022</t>
  </si>
  <si>
    <t>RAD418_Affidamento diretto, ex art. 36, comma 2, lett.a), del D. Lgs. 50/2016, mediante Ordine Diretto di Acquisto con ricorso ad Operatore Economico presente nell'elenco telematico di Ateneo per un servizio di autonoleggio con conducente da effettuarsi il giorno 14 dicembre 2022 per un importo pari ad euro 350,00 iva esclusa al 10%.</t>
  </si>
  <si>
    <t>inizio 13/12/2022, ultimazione 15/12/2022</t>
  </si>
  <si>
    <t>RAD420 articolo scientifico - oneri obbligatori di pubblicazione su rivista specializzata con affidamento diretto ex art. 36, comma 2, lett. a), del D. Lgs. 50/2016, per un importo pari a USD 1.040,00 oltre oneri EXTRA UE su richiesta del professore Marco Pisco afferente al Dipartimento di Ingegneria.</t>
  </si>
  <si>
    <t>99999999999-COPYRIGHT CLEARANCE CENTER</t>
  </si>
  <si>
    <t>1040.0</t>
  </si>
  <si>
    <t>Lavori di riqualificazione di immobili Bonus Facciate ed Ecobonus Lotto I Complesso immobiliare "Ex Inps"</t>
  </si>
  <si>
    <t>516250.72</t>
  </si>
  <si>
    <t>inizio 12/12/2022</t>
  </si>
  <si>
    <t>Servizio di stampa in grande formato, accessori per la stampa e fornitura di arredi e complementi di arredo per il completamento del rettorato dell'Universit√† degli Studi del Sannio.</t>
  </si>
  <si>
    <t>13738321002-FPG SRL</t>
  </si>
  <si>
    <t>4140.0</t>
  </si>
  <si>
    <t>inizio 07/12/2022, ultimazione 16/12/2022</t>
  </si>
  <si>
    <t>Servizio di trasloco e facchinaggio di materiale vario dagli uffici del complesso San Vittorino e palazzo Zoppoli agli uffici di palazzo San Domenico sede del Rettorato dell'Universit√† degli Studi del Sannio.</t>
  </si>
  <si>
    <t>2236.88</t>
  </si>
  <si>
    <t>inizio 07/12/2022, ultimazione 19/12/2022</t>
  </si>
  <si>
    <t>Acquisto spazio pubblicitario su "Agenda Realt√† Sannita 2023"</t>
  </si>
  <si>
    <t>01816150625-Edizioni Realt√† Sannita</t>
  </si>
  <si>
    <t>500.0</t>
  </si>
  <si>
    <t>inizio 07/12/2022</t>
  </si>
  <si>
    <t xml:space="preserve">Affidamento diretto, ai sensi dellart. 36, comma 2, lett. a) del D. Lgs. 50/2016, del servizio buffet alla  al ristorante Sapori, con sede in Benevento, Via San Cristiano n.82 P.IVA/C.F. 01723620629, in occasione del Seminario  Il fine vita e la dignit√† del morire che si terr√† a Benevento presso il Dipartimento di Diritto, Economia, Management e Metodi Quantitativi  DEMM il giorno 14 Dicembre 2022.  </t>
  </si>
  <si>
    <t>01723620629-SAPORI Ristorante</t>
  </si>
  <si>
    <t>inizio 07/12/2022, ultimazione 15/12/2022</t>
  </si>
  <si>
    <t>550.0</t>
  </si>
  <si>
    <t>Accordo quadro per la fornitura a somministrazione, resa franco d'imballo, trasporto e consegna, di prodotti chimici e biologici necessari per le attivit√† e il funzionamento dei Laboratori chimici e biologici del DST</t>
  </si>
  <si>
    <t>31168.84</t>
  </si>
  <si>
    <t>inizio 06/12/2022, ultimazione 06/12/2024</t>
  </si>
  <si>
    <t>Servizio di rendicontazione della spesa ex art.9 della Convenzione tra Agenzia per la Coesione Territoriale ed Universit√† degli Studi del Sannio e Partner nell'ambito del Progetto "SHerIL"</t>
  </si>
  <si>
    <t>BRNLVC55H20F839Q-Dott. Ludovico Barone</t>
  </si>
  <si>
    <t>38000.0</t>
  </si>
  <si>
    <t>inizio 06/12/2022, ultimazione 06/08/2025</t>
  </si>
  <si>
    <t>1234.48</t>
  </si>
  <si>
    <t>Fornitura e posa in opera delle canalizzazioni per le cappe chimiche ubicate nel laboratorio DST dell'edificio denominato Ex-Enel, sito in Benevento alla Via dei Mulini. PROGETTO - CRGS - CENTRO DI RICERCA GENOMICA PER LA SALUTE. Codice CUP: B41C17000080007.</t>
  </si>
  <si>
    <t>01569270638-MOMO LINE SRL</t>
  </si>
  <si>
    <t>6797.0</t>
  </si>
  <si>
    <t>inizio 02/12/2022, ultimazione 05/12/2022</t>
  </si>
  <si>
    <t>RAD332 _attivit√† del progetto PSR Campania 2014-2020  Misura 16  Sottomisura 16.1  Tipologia di intervento 16.1.2.  Sostegno ai Progetti Operativi di Innovazione (POI) Svolgimento dellindagine per la rilevazione delle preferenze del consumatore prevista nellambito del progetto "INNFARES"</t>
  </si>
  <si>
    <t>06509420631-Adacta</t>
  </si>
  <si>
    <t>14500.0</t>
  </si>
  <si>
    <t>inizio 02/12/2022</t>
  </si>
  <si>
    <t>RAD330_Attivit√† del progetto PSR Campania 2014-2020  Misura 16  Sottomisura 16.1  Tipologia di intervento 16.1.2.  Sostegno ai Progetti Operativi di Innovazione (POI)  Progetto POIGA- Svolgimento dellindagine per la rilevazione delle preferenze del consumatore prevista nellambito del progetto POIGA</t>
  </si>
  <si>
    <t>08009000962-PEPE RESEARCH SRL</t>
  </si>
  <si>
    <t>15000.0</t>
  </si>
  <si>
    <t>RADX_Servizi di verifica della rispondenza delle specifiche sviluppate nel progetto relative a tecnologie e processi di produzione per strutture in composito_Prof Salvatore Rampone</t>
  </si>
  <si>
    <t>09742951214-Ga Concept s.r.l.</t>
  </si>
  <si>
    <t>20450.0</t>
  </si>
  <si>
    <t>inizio 01/12/2022</t>
  </si>
  <si>
    <t xml:space="preserve"> Acquisto materiale di laboratorio per esigenze di ricerca della prof.ssa Cioffi Federica</t>
  </si>
  <si>
    <t>2058.65</t>
  </si>
  <si>
    <t>inizio 30/11/2022, ultimazione 12/12/2022</t>
  </si>
  <si>
    <t>Affidamento pranzo nell'ambito dell'intervento di Alessandro Cecchi Paone "Influenza della transizione digitale a proposito di fake news scientifiche e innovazione tecnologica nei media" in data 22 novembre 2022</t>
  </si>
  <si>
    <t>01678890623-Roseto Servizi S.r.l.</t>
  </si>
  <si>
    <t>86.36</t>
  </si>
  <si>
    <t>inizio 29/11/2022, ultimazione 30/11/2022</t>
  </si>
  <si>
    <t>RAD398_articolo scientifico - oneri obbligatori di pubblicazione con affidamento diretto ex art. 36, comma 2, lett. a), del D. Lgs. 50/2016, per un importo pari a euro 2.372,90 compresi oneri intra UE su richiesta del professore Carmine Guarino afferente al Dipartimento di Scienze e Tecnologie.</t>
  </si>
  <si>
    <t xml:space="preserve">00000000000-Springer Nature </t>
  </si>
  <si>
    <t>2372.9</t>
  </si>
  <si>
    <t>RAD401_articolo scientifico - oneri obbligatori di pubblicazione con affidamento diretto ex art. 36, comma 2, lett. a), del D. Lgs. 50/2016, per un importo pari a euro 1.090,00 oltre oneri extra UE su richiesta del professore Matteo Mario Savino afferente al Dipartimento di Ingegneria.</t>
  </si>
  <si>
    <t xml:space="preserve">GB365462636-Taylor &amp; Francis Sheepen Place Colchester CO3 3LP UK </t>
  </si>
  <si>
    <t>1090.0</t>
  </si>
  <si>
    <t>RAD403_Affidamento diretto, ai sensi dell art. 36, comma 2, lett.a), del D. Lgs.50/2016, relativo alla fornitura, per un importo pari ad euro 9.954,05 IVA esclusa al 22%, di apparecchiature per telerilevamento, nellambito delle attivit√† di ricerca del progetto Dipartimenti di Eccellenza per le esigenze dei laboratori del gruppo di Telecomunicazioni in essere presso il Dipartimento di Ingegneria, mediante Ordine Diretto di Acquisto  ODA sul Mercato Elettronico della Pubblica Amministrazione MEPA.</t>
  </si>
  <si>
    <t>02302390154-DB Electronic Instruments srl</t>
  </si>
  <si>
    <t>9954.05</t>
  </si>
  <si>
    <t>RAD392_Affidamento diretto, ex art. 36, comma 2, lett.a), del D. Lgs. 50/2016, mediante Ordine Diretto di Acquisto con ricorso ad Operatore Economico presente nell'elenco telematico di Ateneo per un servizio di autonoleggio con conducente da effettuarsi il giorno 6 dicembre 2022 per un importo pari ad euro 440,00 iva inclusa al 10%.</t>
  </si>
  <si>
    <t>inizio 28/11/2022, ultimazione 15/12/2022</t>
  </si>
  <si>
    <t>RAD396_Affidamento diretto, ex art. 36, comma 2, lett.a), del D. Lgs. 50/2016, mediante Ordine Diretto di Acquisto con ricorso ad Operatore Economico presente nell'elenco telematico di Ateneo per un servizio di autonoleggio con conducente da effettuarsi il giorno 2 dicembre 2022 per un importo pari ad euro 350,00 iva esclusa al 10%.</t>
  </si>
  <si>
    <t>inizio 28/11/2022, ultimazione 02/12/2022</t>
  </si>
  <si>
    <t>RAD67_Affidamento diretto, ex art. 36, comma 2, lett.a), del D. Lgs. 50/2016, per un importo pari ad euro 466,00 IVA esclusa al 22%, per lacquisto di n.2 lavagne in ardesia scrivibili con gesso mediante Ordine Diretto di Acquisto  ODA sul Mercato Elettronico della Pubblica Amministrazione  MEPA su richiesta della professoressa Menita Carozza afferente al Dipartimento di Ingegneria.</t>
  </si>
  <si>
    <t>00390590503-FANTOZZI SRL</t>
  </si>
  <si>
    <t>466.0</t>
  </si>
  <si>
    <t>inizio 25/11/2022, ultimazione 15/12/2022</t>
  </si>
  <si>
    <t xml:space="preserve">Servizio di trasporto/navetta studenti per il periodo novembre - dicembre 2022. </t>
  </si>
  <si>
    <t>3000.0</t>
  </si>
  <si>
    <t>inizio 25/11/2022, ultimazione 16/12/2022</t>
  </si>
  <si>
    <t>RAD316_Trattativa diretta, sulla piattaforma Mercato Elettronico della Pubblica Amministrazione  MEPA, per la fornitura di una attrezzatura per lo sviluppo di esperimenti nellambito delle attivit√† di ricerca del progetto Dipartimenti di Eccellenza per le esigenze dei laboratori del gruppo di Elettronica in essere presso il Dipartimento di Ingegneria</t>
  </si>
  <si>
    <t>02713430987-COMSOL</t>
  </si>
  <si>
    <t>12465.0</t>
  </si>
  <si>
    <t>inizio 23/11/2022, ultimazione 18/12/2022</t>
  </si>
  <si>
    <t>RAD379_Affidamento diretto, ex art. 36, comma 2, lett.a), del D. Lgs. 50/2016, per un importo pari ad euro 555,00 IVA esclusa al 22%, per lacquisto di un Modulo a barra DIN pre-programmato per la conversione tra segnali, mediante Ordine Diretto di Acquisto  ODA sul Mercato Elettronico della Pubblica Amministrazione  MEPA su richiesta della professoressa Rosa Francesca De Masi, afferente al Dipartimento di Ingegneria</t>
  </si>
  <si>
    <t>01422830990-NESA</t>
  </si>
  <si>
    <t>555.0</t>
  </si>
  <si>
    <t>inizio 21/11/2022, ultimazione 15/12/2022</t>
  </si>
  <si>
    <t>Servizio di lavaggio delle toghe, tocchi e scarpe utilizzati da professori e studenti dell'Universit√† degli Studi del Sannio.</t>
  </si>
  <si>
    <t>02393380643-Lavanderia "La Modernissima di Morcone Mario s.n.c."</t>
  </si>
  <si>
    <t>818.03</t>
  </si>
  <si>
    <t>inizio 21/11/2022, ultimazione 29/11/2022</t>
  </si>
  <si>
    <t>RAD381_Affidamento diretto, ai sensi dellart. 36, comma 2, lett. a), del D. Lgs. 50/2016, per un importo pari ad euro 550,00 oltre IVA, per lacquisizione di un dispositivo costituito da modelli In scala di edifici a telaio, con diverse rigidezze, posti in parallelo su piano da fissare alla tavola vibrante gi√† in possesso del Dipartimento eseguito su progetto per le esigenze del Dipartimento di Ingegneria.</t>
  </si>
  <si>
    <t>02240630646-MATARAZZO SRL</t>
  </si>
  <si>
    <t>inizio 21/11/2022</t>
  </si>
  <si>
    <t xml:space="preserve">Polizza R.C. Professionisti e R.C. Professionisti asseverazione Compagnia Italiana Assicurazioni Risanamento Conservativo prospetti principali Immobile EX INPS - Architetto R. Gatto </t>
  </si>
  <si>
    <t>00774430151-ITALIANA ASSICURAZIONI S.P.A.</t>
  </si>
  <si>
    <t>1452.0</t>
  </si>
  <si>
    <t>inizio 21/11/2022, ultimazione 21/11/2023</t>
  </si>
  <si>
    <t>RAD327_Affidamento diretto, ai sensi dellart. 36, comma 2, lett. a), del D. Lgs. 50/2016, per un importo pari ad euro 120,00 oltre IVA, per un servizio di stampa in piano su pannello forex da 5mm (70x100) per le esigenze del Dipartimento di Scienze e Tecnologie</t>
  </si>
  <si>
    <t>MLLCSM87C16A783I-PENSATO STAMPATO di Melillo Cosimo Via dei Mulini 77/D 82100 Benevento P.I. 01603040625 C.F. MLLCSM87C16A783I</t>
  </si>
  <si>
    <t>120.0</t>
  </si>
  <si>
    <t>inizio 20/11/2022</t>
  </si>
  <si>
    <t>Servizio di manutenzione straordinaria dell'ascensore ubicato al plesso Giannone.</t>
  </si>
  <si>
    <t>05069070158-KONE SPA</t>
  </si>
  <si>
    <t>2830.0</t>
  </si>
  <si>
    <t>inizio 16/11/2022, ultimazione 30/11/2022</t>
  </si>
  <si>
    <t>2613.0</t>
  </si>
  <si>
    <t>Servizio di manutenzione ordinaria per le automobili dell'Universit√† degli Studi del Sannio.</t>
  </si>
  <si>
    <t>01342550629-centro revisioni lombardi sas di lombardi luca &amp; c</t>
  </si>
  <si>
    <t>400.4</t>
  </si>
  <si>
    <t>inizio 15/11/2022, ultimazione 19/12/2022</t>
  </si>
  <si>
    <t>Acquisto prodotti ricerca per svolgimento attivit√† di laboratorio</t>
  </si>
  <si>
    <t>05706610481-Vinci-Biochem</t>
  </si>
  <si>
    <t>438.36</t>
  </si>
  <si>
    <t>inizio 14/11/2022, ultimazione 25/11/2022</t>
  </si>
  <si>
    <t xml:space="preserve">Acquisto e aggiornamento software </t>
  </si>
  <si>
    <t>01883740647-ACCA SOFTWARE SPA</t>
  </si>
  <si>
    <t>14334.2</t>
  </si>
  <si>
    <t>inizio 14/11/2022, ultimazione 29/11/2022</t>
  </si>
  <si>
    <t>Corso AVA</t>
  </si>
  <si>
    <t>08857861002-PIU' SRL</t>
  </si>
  <si>
    <t>inizio 14/11/2022, ultimazione 14/11/2022</t>
  </si>
  <si>
    <t>RAD390_articolo scientifico - oneri obbligatori di pubblicazione con affidamento diretto ex art. 36, comma 2, lett. a), del D. Lgs. 50/2016, per un importo pari a euro 3.850,00 oltre oneri intra UE su richiesta del professore Giuseppe Maddaloni, afferente al Dipartimento di Ingegneria.</t>
  </si>
  <si>
    <t>3850.0</t>
  </si>
  <si>
    <t>inizio 11/11/2022, ultimazione 20/11/2022</t>
  </si>
  <si>
    <t>RAD369_articolo scientifico - oneri obbligatori di pubblicazione con affidamento diretto ex art. 36, comma 2, lett. a), del D. Lgs. 50/2016, per un importo pari a euro 2.780,00 oltre oneri intra UE su richiesta del professore Luigi Glielmo di afferente al Dipartimento di Ingegneria.</t>
  </si>
  <si>
    <t>2780.0</t>
  </si>
  <si>
    <t>inizio 11/11/2022, ultimazione 18/11/2022</t>
  </si>
  <si>
    <t>Servizi pubblicitari su "Ateneapoli"</t>
  </si>
  <si>
    <t>07237140632-Ateneapoli S.r.l.</t>
  </si>
  <si>
    <t>inizio 10/11/2022, ultimazione 30/11/2022</t>
  </si>
  <si>
    <t>Servizi pubblicitari su Canale 21</t>
  </si>
  <si>
    <t>01220810632-Napoli Canale 21 S.r.l.</t>
  </si>
  <si>
    <t>4000.0</t>
  </si>
  <si>
    <t>inizio 10/11/2022</t>
  </si>
  <si>
    <t>RAD334 servizio di verifica della trasferibilit√† di ambiente di implementazione Data Processor in ambito GS includente il software sviluppato in ambiente MATLAB. Prof. Rampone</t>
  </si>
  <si>
    <t>04381000613-E.C.S. srl</t>
  </si>
  <si>
    <t>3873.0</t>
  </si>
  <si>
    <t>inizio 08/11/2022, ultimazione 16/01/2023</t>
  </si>
  <si>
    <t>RAD295_301_Materiale informatico in adesione AQ_ Prof. Vasca</t>
  </si>
  <si>
    <t>2121.86</t>
  </si>
  <si>
    <t>inizio 08/11/2022</t>
  </si>
  <si>
    <t>Corso Passweb 20 ottobre 2022</t>
  </si>
  <si>
    <t>03635090875-PUBBLIFORMEZ</t>
  </si>
  <si>
    <t>inizio 08/11/2022, ultimazione 08/11/2022</t>
  </si>
  <si>
    <t>Fornitura di porte, mobili e complementi di arredo in generale in legno per la sede del Rettorato</t>
  </si>
  <si>
    <t>TLLMHL70S29E954E-Creazioni in Legno di Tullio Michelangelo</t>
  </si>
  <si>
    <t>23110.0</t>
  </si>
  <si>
    <t>inizio 07/11/2022, ultimazione 21/12/2022</t>
  </si>
  <si>
    <t>Realizzazione della linea grafica del sito web del Centro Linguistico di Ateneo dell'Universit√† degli Studi del Sannio (CLAUS).</t>
  </si>
  <si>
    <t>07988800582-ATON IMMAGINE E COMUNICAZIONE</t>
  </si>
  <si>
    <t>2500.0</t>
  </si>
  <si>
    <t>inizio 07/11/2022, ultimazione 11/01/2023</t>
  </si>
  <si>
    <t>RAD317_Determina di aggiudicazione di Trattativa diretta, sulla piattaforma Mercato Elettronico della Pubblica Amministrazione  MEPA, per la fornitura di una attrezzatura per lo sviluppo di esperimenti nell'ambito delle attivit√† di ricerca del progetto Dipartimenti di Eccellenza per le esigenze dei laboratori del gruppo di Elettronica in essere presso il Dipartimento di Ingegneria_TD MEPA</t>
  </si>
  <si>
    <t>10794580158-Giakova s.r.l.</t>
  </si>
  <si>
    <t>9270.0</t>
  </si>
  <si>
    <t>inizio 07/11/2022</t>
  </si>
  <si>
    <t>RAD321_Affidamento diretto, ai sensi dellart. 36, comma 2, lett. a), del D. Lgs. 50/2016, per un importo pari ad euro 250,00 oltre IVA, per riparazione notebook ASUS N580 per le esigenze del Dipartimento di Ingegneria_Prof. Carlo Roselli</t>
  </si>
  <si>
    <t>02389890647-BACOM SRL</t>
  </si>
  <si>
    <t>250.0</t>
  </si>
  <si>
    <t>inizio 04/11/2022, ultimazione 10/01/2023</t>
  </si>
  <si>
    <t>RAD315_Determina di aggiudicazione di Trattativa diretta, sulla piattaforma Mercato Elettronico della Pubblica Amministrazione  MEPA, per la fornitura di una attrezzatura per lo sviluppo di esperimenti nellambito delle attivit√† di ricerca del progetto Dipartimenti di Eccellenza per le esigenze dei laboratori del gruppo di Automatica e del gruppo di Misure in essere presso il Dipartimento di Ingegneria_TD MEPA</t>
  </si>
  <si>
    <t>08876610968-KEYSIGHT SRL</t>
  </si>
  <si>
    <t>39533.82</t>
  </si>
  <si>
    <t>inizio 29/10/2022</t>
  </si>
  <si>
    <t>Consulenza tecnica (BIM) inerente il progetto afferente al bando per le residenze universitarie pubblicato dal MUR</t>
  </si>
  <si>
    <t>08636761218-STRESS VALUE</t>
  </si>
  <si>
    <t>7500.0</t>
  </si>
  <si>
    <t>inizio 28/10/2022, ultimazione 23/11/2022</t>
  </si>
  <si>
    <t>RAD367 articolo scientifico - oneri obbligatori di pubblicazione con affidamento diretto ex art. 36, comma 2, lett. a), del D. Lgs. 50/2016, per un importo pari a euro 879,90 oltre oneri intra UE su richiesta del professore Alessio Valente afferente al Dipartimento di Scienze e Tecnologie.</t>
  </si>
  <si>
    <t>879.9</t>
  </si>
  <si>
    <t>inizio 27/10/2022, ultimazione 30/10/2022</t>
  </si>
  <si>
    <t>Affidamento dei servizi di copertura assicurativa RCA e garanzie accessorie relative ai veicoli "Fiat 500 Pro Pop Star", targato FN 736 CF, "Fiat Dobl√≤", targato EA 302 TW, di propret√† dell'Universit√† degli Studi del Sannio per il periodo compreso tra le ore 24.00 del 27 ottobre 2022 e le ore 24.00 del 27 ottobre 2023</t>
  </si>
  <si>
    <t>09197520159-Allianz Viva S.p.A.</t>
  </si>
  <si>
    <t>1430.0</t>
  </si>
  <si>
    <t>inizio 27/10/2022, ultimazione 27/10/2023</t>
  </si>
  <si>
    <t>Servizio di trasloco di strumentazioni ed attrezzature appartenenti ad alcuni laboratori di ingegneria</t>
  </si>
  <si>
    <t>02671340640-TRASLOCHI CATURANO SRL</t>
  </si>
  <si>
    <t>2400.0</t>
  </si>
  <si>
    <t>inizio 26/10/2022, ultimazione 07/11/2022</t>
  </si>
  <si>
    <t>Fornitura di arredi per il completamento del rettorato dell'Universit√† degli Studi del Sannio pi√† servizio di trasloco e facchinaggio</t>
  </si>
  <si>
    <t>inizio 26/10/2022, ultimazione 05/12/2022</t>
  </si>
  <si>
    <t>Servizio di allestimento di un evento attinente al progetto presentato nell'ambito dei "Dipartimenti di Eccellenza" dell'Universit√† degli Studi del Sannio.</t>
  </si>
  <si>
    <t>01316250628-Sound Vibration di Del Vecchio Giuseppe Mario &amp; C sas</t>
  </si>
  <si>
    <t>2200.0</t>
  </si>
  <si>
    <t>inizio 26/10/2022, ultimazione 28/10/2022</t>
  </si>
  <si>
    <t>10¬∞ Seminario Censis sulla Comunicazione delle Universit√† Italiane</t>
  </si>
  <si>
    <t>01158690584-C.E.N.S.I.S.</t>
  </si>
  <si>
    <t>inizio 25/10/2022, ultimazione 25/10/2022</t>
  </si>
  <si>
    <t>RAD336_articolo scientifico - oneri obbligatori di pubblicazione con affidamento diretto ex art. 36, comma 2, lett. a), del D. Lgs. 50/2016, per un importo pari a euro 3.363,80 oltre oneri intra UE su richiesta del professore Luigi Glielmo di afferente al Dipartimento di Ingegneria.</t>
  </si>
  <si>
    <t>3363.8</t>
  </si>
  <si>
    <t>inizio 25/10/2022, ultimazione 27/10/2022</t>
  </si>
  <si>
    <t>Acquisto di materiale di laboratorio per analisi di campioni porf.ssa De Nicola Flavia</t>
  </si>
  <si>
    <t>402.0</t>
  </si>
  <si>
    <t>inizio 24/10/2022, ultimazione 31/10/2022</t>
  </si>
  <si>
    <t xml:space="preserve">Determina di affidamento diretto di Materiale di carta A4 e A3,  per per esigenze di  didattica del prof. Varricchio Dipartimento di Iscienze e Tecnologie , ai sensi dell'art. 36, co 2, lett. a) del D.Lgs. 50/2016  </t>
  </si>
  <si>
    <t>01688970621-ALEX OFFICE &amp; BUSINESS SRL</t>
  </si>
  <si>
    <t>140.0</t>
  </si>
  <si>
    <t xml:space="preserve">Acquisto di materiale di consumo per il Laboratorio di Fisiologia del Dipartimento di Scienze prof.ssa Cioffi </t>
  </si>
  <si>
    <t>1995.0</t>
  </si>
  <si>
    <t>inizio 21/10/2022, ultimazione 31/10/2022</t>
  </si>
  <si>
    <t>RAD339_articolo scientifico - oneri obbligatori di pubblicazione con affidamento diretto ex art. 36, comma 2, lett. a), del D. Lgs. 50/2016, per un importo pari a USD 2.440,00 oltre oneri extra UE su richiesta della professoressa Silvia Ullo afferente al Dipartimento di Ingegneria.</t>
  </si>
  <si>
    <t>2440.0</t>
  </si>
  <si>
    <t>inizio 20/10/2022, ultimazione 25/10/2022</t>
  </si>
  <si>
    <t>RAD353 articolo scientifico - oneri obbligatori di pubblicazione con affidamento diretto ex art. 36, comma 2, lett. a), del D. Lgs. 50/2016, per un importo pari a euro 716,11 oltre oneri intra UE su richiesta del professore Stefano Acierno afferente al Dipartimento di Ingegneria.</t>
  </si>
  <si>
    <t>716.11</t>
  </si>
  <si>
    <t>RAD337_articolo scientifico - oneri obbligatori di pubblicazione con affidamento diretto ex art. 36, comma 2, lett. a), del D. Lgs. 50/2016, per un importo pari a euro 2.200,00 oltre oneri intra UE su richiesta del professore Luigi Glielmo afferente al Dipartimento di Ingegneria.</t>
  </si>
  <si>
    <t>RAD309_Affidamento in adesione accordo quadro materiale informatico vario_prof. Persiano</t>
  </si>
  <si>
    <t>286.52</t>
  </si>
  <si>
    <t>inizio 19/10/2022, ultimazione 30/10/2022</t>
  </si>
  <si>
    <t>RAD225_Affidamento in adesione accordo quadro materiale informatico vario_prof. Savino</t>
  </si>
  <si>
    <t>RAD283_Affidamento in adesione accordo quadro materiale informatico vario_prof. Mauro</t>
  </si>
  <si>
    <t>108.02</t>
  </si>
  <si>
    <t>Affidamento diretto, ai sensi dellart. 36, comma 2, lett. a) del D. Lgs. 50/2016,per lacquisto di materiale di consumo per esigenze di ricerca del Prof.  Giuseppe Graziano del Dipartimento di Scienze e Tecnologie.</t>
  </si>
  <si>
    <t>809.0</t>
  </si>
  <si>
    <t>inizio 18/10/2022, ultimazione 31/10/2022</t>
  </si>
  <si>
    <t>Affidamento diretto, ai sensi dellart. 36, comma 2, lett. a) del D. Lgs. 50/2016, Dipartimento di Scienze e Tecnologie, per acquisto prodotti per esigenze di ricerca del  Responsabile scientifico,  Prof. Carmine Guarino.</t>
  </si>
  <si>
    <t>Q1418001B-Universidad de Cordoba campus Rabanales</t>
  </si>
  <si>
    <t>6108.0</t>
  </si>
  <si>
    <t>inizio 18/10/2022, ultimazione 20/10/2022</t>
  </si>
  <si>
    <t>acquisto materiale per la Prof.ssa. Canzoniero</t>
  </si>
  <si>
    <t>13110270157-QIAGEN S.R.L.</t>
  </si>
  <si>
    <t>1132.8</t>
  </si>
  <si>
    <t>inizio 15/10/2022, ultimazione 18/10/2022</t>
  </si>
  <si>
    <t>Determina di affidamento diretto della fornitura di attrezzature Informatiche, tramite ricorso allAccordo Quadro stipulato dallAteneo,  per esigenze di ricerca e didattica presso il Dipartimento di Diritto, Economia, Management e Metodi Quantitativi  DEMM,  docent Malinconico e Violi</t>
  </si>
  <si>
    <t>inizio 14/10/2022, ultimazione 30/10/2022</t>
  </si>
  <si>
    <t>Restauro e conservazione del portone d'ingesso del palazzo San Domenico sede del Rettorato dell'Universit√† degli Studi del Sannio</t>
  </si>
  <si>
    <t>03100900640-Pheliana srl</t>
  </si>
  <si>
    <t>5345.68</t>
  </si>
  <si>
    <t>inizio 13/10/2022, ultimazione 10/02/2023</t>
  </si>
  <si>
    <t>2722.84</t>
  </si>
  <si>
    <t>Acquisto materiale di laboratorio per esigenze di ricerca della prof. Carmine Guarino</t>
  </si>
  <si>
    <t>10767630154-EPPENDORF SRL</t>
  </si>
  <si>
    <t>799.5</t>
  </si>
  <si>
    <t>inizio 12/10/2022, ultimazione 31/10/2022</t>
  </si>
  <si>
    <t>Servizio di allestimento di eventi per l' Universit√† degli Studi del Sannio.</t>
  </si>
  <si>
    <t>inizio 12/10/2022, ultimazione 18/10/2022</t>
  </si>
  <si>
    <t xml:space="preserve">Determina di affidamento diretto di Materiale di carta A4 e A3,  per per esigenze di  didattica del Dipartimento di Ingegneria , ai sensi dell'art. 36, co 2, lett. a) del D.Lgs. 50/2016 </t>
  </si>
  <si>
    <t>1095.0</t>
  </si>
  <si>
    <t>inizio 12/10/2022, ultimazione 24/10/2022</t>
  </si>
  <si>
    <t xml:space="preserve">Affidamento dell'incarico di DPO/RPD (Data Protection Officer/Responsabile Protezione Dati) e del Servizio di consulenza per gestione della Privacy per l'Universit√† degli Studi del Sannio per il periodo di anni due </t>
  </si>
  <si>
    <t>12858901007-PA 33 SRL</t>
  </si>
  <si>
    <t>39500.0</t>
  </si>
  <si>
    <t>inizio 11/10/2022, ultimazione 11/10/2024</t>
  </si>
  <si>
    <t>RAD234_Affidamento in adesione accordo quadro materiale informatico vario_prof. Zimeo</t>
  </si>
  <si>
    <t>274.69</t>
  </si>
  <si>
    <t>inizio 11/10/2022</t>
  </si>
  <si>
    <t>RAD311_Affidamento diretto, ai sensi dellart. 36, comma 2, lett. a), del D. Lgs. 50/2016, per un importo pari ad euro 2.908,80 IVA esclusa al 22%, per lacquisto di un calibratore di portata digitale 0,05-5 NL/min per le esigenze del Dipartimento di Scienze e Tecnologie mediante Ordine diretto di Acquisto  ODA sul Mercato Elettronico della Pubblica Amministrazione  MEPA</t>
  </si>
  <si>
    <t>08356080963-DADOLAB</t>
  </si>
  <si>
    <t>2908.8</t>
  </si>
  <si>
    <t>inizio 11/10/2022, ultimazione 30/10/2022</t>
  </si>
  <si>
    <t>RAD313_Affidamento diretto, ai sensi dellart. 36, comma 2, lett. a), del D. Lgs. 50/2016, per un importo pari ad euro 1.422,82 IVA esclusa al 22%, per lacquisto un Ciclone FSP-10 per frazione respirabile e un Ciclone BGI-4L, Higgins Dewell style, comprensivi di accessori per le esigenze del Dipartimento di Scienze e Tecnologie mediante Ordine diretto di Acquisto  ODA sul Mercato Elettronico della Pubblica Amministrazione  MEPA</t>
  </si>
  <si>
    <t>00000000000-RECOM INDUSTRIALE SRL</t>
  </si>
  <si>
    <t>1422.82</t>
  </si>
  <si>
    <t>inizio 10/10/2022, ultimazione 30/10/2022</t>
  </si>
  <si>
    <t>1422.8</t>
  </si>
  <si>
    <t>RAD283_Affidamento diretto, ex art. 36, comma 2, lett.a), del D. Lgs. 50/2016, per un importo pari ad euro 168,00 IVA esclusa al 22%, per lacquisto di una stampane Epson Workforce WF-2885DWF per le esigenze del Dipartimento di Ingegneria, mediante Ordine Diretto di Acquisto  ODA sul Mercato Elettronico della Pubblica Amministrazione - MEPA.</t>
  </si>
  <si>
    <t xml:space="preserve">06978581004-ELETTROSERVIZI SRL </t>
  </si>
  <si>
    <t>168.0</t>
  </si>
  <si>
    <t>inizio 06/10/2022, ultimazione 30/10/2022</t>
  </si>
  <si>
    <t>RAD305 Affidamento in adesione accordo quadro per MacBook pro 13_prof. Zimeo</t>
  </si>
  <si>
    <t>1789.0</t>
  </si>
  <si>
    <t>RAD319_Affidamento diretto, ai sensi dellart. 36, comma 2, lett. a), del D. Lgs. 50/2016, per un importo pari ad euro 1.000,00 oltre IVA, per un circuito stampato per DataLogger con SIM800 (GSM), Arduino Every, Scheda SD, RTC e alimentazione a 12V con Fornitura di 5 schede assemblate  per le esigenze del Dipartimento di Scienze e Tecnologie</t>
  </si>
  <si>
    <t xml:space="preserve">08694790968-FABB SRL </t>
  </si>
  <si>
    <t>Accordo quadro per la fornitura a somministrazione, resa franco d'imballo, trasporto e consegna, di prodotti vetreria, minuteria e piccole apparecchiature da banco necessari per le attivit√† e il funzionamento dei Laboratori chimici e biologici del DST</t>
  </si>
  <si>
    <t>29954.43</t>
  </si>
  <si>
    <t>inizio 06/10/2022, ultimazione 06/10/2024</t>
  </si>
  <si>
    <t xml:space="preserve">Servizi di stampa e grafica per le attivit√† di orientamento dell'Universit√† degli Studi del Sannio. </t>
  </si>
  <si>
    <t>TTEGNN65H03L086E-TETA GIOVANNI</t>
  </si>
  <si>
    <t>2361.0</t>
  </si>
  <si>
    <t>inizio 03/10/2022, ultimazione 12/10/2022</t>
  </si>
  <si>
    <t>RAD265_Materiale laboratorio optoelettronico Progetto NEON_TD MEPA</t>
  </si>
  <si>
    <t>06725640582-ASSING S.p.A.</t>
  </si>
  <si>
    <t>2205.0</t>
  </si>
  <si>
    <t>inizio 03/10/2022, ultimazione 30/10/2022</t>
  </si>
  <si>
    <t>Affidamento diretto, ai sensi  dellart. 36, comma 2, lettera a) del D.Lgs. 50/2016, e ss.mm.ii., della fornitura piattaforma MATLAB The Mathworks S.r.l. dal 01.10.22 al 30.09.23</t>
  </si>
  <si>
    <t>08333270018-The Mathworks S.r.l.</t>
  </si>
  <si>
    <t>24732.36</t>
  </si>
  <si>
    <t>inizio 01/10/2022, ultimazione 30/09/2023</t>
  </si>
  <si>
    <t>Acquisto spazi pubblicitari nel mensile "Il Carabiniere"</t>
  </si>
  <si>
    <t>04998600961-Publimedia S.r.l.</t>
  </si>
  <si>
    <t>7475.0</t>
  </si>
  <si>
    <t>inizio 01/10/2022, ultimazione 25/10/2022</t>
  </si>
  <si>
    <t>Attivazione sim Vodafone per monitoraggio frana nell√¨ambto del progetto di ricerca Prof.ssa Paola Revellino</t>
  </si>
  <si>
    <t>93026890017-VODAFONE ITALIA SPA</t>
  </si>
  <si>
    <t>302.4</t>
  </si>
  <si>
    <t>inizio 01/10/2022, ultimazione 31/10/2022</t>
  </si>
  <si>
    <t xml:space="preserve">Affidamento del servizio di organizzazione di una cena in data 30 settembre nell'ambito del Convegno nazionale Le persone con disabilit√† tra societ√†, economia e diritto: questioni aperte e prospettive di riforma </t>
  </si>
  <si>
    <t>01450900624-Ristorante Pizzeria Traiano S.r.l.</t>
  </si>
  <si>
    <t>280.0</t>
  </si>
  <si>
    <t>inizio 30/09/2022, ultimazione 30/10/2022</t>
  </si>
  <si>
    <t xml:space="preserve">Affidamento del servizio di organizzazione di una cena in data 29 settembre nell'ambito del Convegno nazionale Le persone con disabilit√† tra societ√†, economia e diritto: questioni aperte e prospettive di riforma </t>
  </si>
  <si>
    <t>01801560622-Il Pirata Route 3/11</t>
  </si>
  <si>
    <t>720.0</t>
  </si>
  <si>
    <t>inizio 29/09/2022, ultimazione 29/10/2022</t>
  </si>
  <si>
    <t xml:space="preserve">Determina di affidamento diretto della fornitura di attrezzature Informatiche, per esigenze di  didattica presso il Dipartimento di Dipartimento di Dipartimento di Diritto, Economia, Management e Metodi Quantitativi- DEMM,  Prof. Squillante Massimo </t>
  </si>
  <si>
    <t>595.33</t>
  </si>
  <si>
    <t>inizio 28/09/2022, ultimazione 15/10/2022</t>
  </si>
  <si>
    <t>Servizi di manutenzione ordinaria e straordinaria degli ascensori dell'Universit√† degli Studi del Sannio per n. 1 anno</t>
  </si>
  <si>
    <t>27800.0</t>
  </si>
  <si>
    <t>inizio 28/09/2022</t>
  </si>
  <si>
    <t>RAD186_ sviluppo e fornitura di un Sistema di monitoraggio strutturale composto da Acquisitori con trasmissione wifi, sensori accelerometrici e rispettivi apparati di alimentazione formato da 10 unit√†/nodi di cui 9 in modalit√† Client ed una con funzione Gatewa_ RELUIS_MADDALONI</t>
  </si>
  <si>
    <t>03542560614-TEST AND MANUFACTING ENGINEERING SRL</t>
  </si>
  <si>
    <t>19800.0</t>
  </si>
  <si>
    <t>inizio 28/09/2022, ultimazione 30/10/2022</t>
  </si>
  <si>
    <t xml:space="preserve">RAD184_Affidamento diretto, ai sensi dell art. 36, comma 2, lett.a), del D. Lgs.50/2016, relativo alla fornitura, per un importo pari ad euro 3.770,02 IVA esclusa, al 22%, di materiale di consumo per posizionamento e movimentazione sonde in fibra ottica per le esigenze del Dipartimento di Ingegneria nellambito del Progetto "NeON - Nanofotonica per nuovi approcci diagnostici e terapEutici in Oncologia e Neurologia", presentato in riscontro allAvviso per la presentazione di Progetti di Ricerca Industriale e Sviluppo Sperimentale nelle 12 aree di Specializzazione individuate dal PNR 2015-2020,mediante Ordine Diretto di Acquisto  ODA sul Mercato Elettronico della Pubblica Amministrazione MEPA. </t>
  </si>
  <si>
    <t>3770.02</t>
  </si>
  <si>
    <t>inizio 22/09/2022, ultimazione 29/09/2022</t>
  </si>
  <si>
    <t>RAD296_articolo scientifico - oneri obbligatori di pubblicazione su rivista specializzata con affidamento diretto ex art. 36, comma 2, lett. a), del D. Lgs. 50/2016, per un importo pari a USD 970,00 oltre oneri intra UE su richiesta del professore Francesco Vasca afferente al Dipartimento di Ingegneria.</t>
  </si>
  <si>
    <t>970.0</t>
  </si>
  <si>
    <t>inizio 21/09/2022, ultimazione 22/09/2022</t>
  </si>
  <si>
    <t>Affidamento direttto del servizio di organizzazione e gestione prova scritta per il Concorso pubblico per titoli ed esami di n. 1 posto di Categoria C, posizione Economica C1, Area Amministrativa</t>
  </si>
  <si>
    <t xml:space="preserve">01075390763-IBS Informatica Basilicata Sistemi s.r.l. </t>
  </si>
  <si>
    <t>inizio 19/09/2022, ultimazione 19/09/2022</t>
  </si>
  <si>
    <t>Determina di affidamento diretto della fornitura di attrezzature Informatiche, tramite ricorso allAccordo Quadro stipulato dallAteneo, ad esito di R.D.O. sul M.E.P.A. (Decreto Direttoriale del 2 marzo 2022, n. 246), per esigenze di ricerca e didattica presso il Dipartimento di Dipartimento di Scienze e Tecnologie - Prof.ssa MARESCA</t>
  </si>
  <si>
    <t>1260.08</t>
  </si>
  <si>
    <t>inizio 19/09/2022, ultimazione 20/10/2022</t>
  </si>
  <si>
    <t xml:space="preserve">Servizi telematici per la partecipazione alla manifestazione "OrientaSud il Salone delle opportunit√† - XXIII edizione" </t>
  </si>
  <si>
    <t>12873291004-ALL  SOCIAL SRL</t>
  </si>
  <si>
    <t>3200.0</t>
  </si>
  <si>
    <t>inizio 19/09/2022, ultimazione 29/09/2022</t>
  </si>
  <si>
    <t>ordine N¬∞ 002 del 1/11/2022 accordo quadro qiagen</t>
  </si>
  <si>
    <t>442.8</t>
  </si>
  <si>
    <t>inizio 18/09/2022, ultimazione 10/10/2022</t>
  </si>
  <si>
    <t>Lavori da realizzare sugli impianti elettrici dei vari immobili universitari</t>
  </si>
  <si>
    <t>24500.0</t>
  </si>
  <si>
    <t>inizio 16/09/2022, ultimazione 30/09/2022</t>
  </si>
  <si>
    <t>Redazione delle relazioni di impatto acustico facenti parte degli elaborati del progetto esecutivo relativo a "Sheril"</t>
  </si>
  <si>
    <t>03041470646-STUDIO TECNICO ASSOCIATO IANNICIELLO</t>
  </si>
  <si>
    <t>993.07</t>
  </si>
  <si>
    <t>inizio 16/09/2022, ultimazione 19/09/2022</t>
  </si>
  <si>
    <t>Accordo quadro per la fornitura a somministrazione, resa franco d'imballo, trasporto e consegna, di prodotti materiali di laboratorio generici e reagenti per la Microbiologia necessari per le attivit√† e il funzionamento dei Laboratori chimici e biologici del DST</t>
  </si>
  <si>
    <t>32885.5</t>
  </si>
  <si>
    <t>inizio 15/09/2022, ultimazione 15/09/2024</t>
  </si>
  <si>
    <t>Accordo quadro per la fornitura a somministrazione, resa franco d'imballo, trasporto e consegna, di prodotti reagenti necessari per le attivit√† e il funzionamento dei Laboratori chimici e biologici del DST</t>
  </si>
  <si>
    <t>32097.0</t>
  </si>
  <si>
    <t>RAD282_articolo scientifico - oneri obbligatori di pubblicazione su rivista specializzata con affidamento diretto ex art. 36, comma 2, lett. a), del D. Lgs. 50/2016, per un importo pari a EUR 2.975,00 oltre oneri intra UE su richiesta del professore Vincenzo Galdi afferente al Dipartimento di Ingegneria</t>
  </si>
  <si>
    <t>2975.0</t>
  </si>
  <si>
    <t>inizio 12/09/2022, ultimazione 19/09/2022</t>
  </si>
  <si>
    <t>2675.0</t>
  </si>
  <si>
    <t>Partecipazione Unisannio alla manifestazione denominata Riviera Electric Challenge in programma nelle giornate 13 14 e 15 settembre 2022: COPERTURA ASSICURATIVA veicolo EVO 3 Electric, targa GE384JZ IN COMODATO</t>
  </si>
  <si>
    <t>09197520159-AllianzVIVA S.P.A.</t>
  </si>
  <si>
    <t>1749.0</t>
  </si>
  <si>
    <t>inizio 11/09/2022, ultimazione 16/09/2022</t>
  </si>
  <si>
    <t>RAD266_Affidamento diretto, ex art. 36, comma 2, lett.a), del D. Lgs. 50/2016, per un importo pari ad euro 1.855,00 IVA esclusa al 22%, per lacquisto di n. 4 crogioli in Tantalio per evaporatore da fascio elettronico per le esigenze del Dipartimento di Ingegneria nellambito del progetto NeON - Nanofotonica per nuovi approcci diagnostici e terapEutici in Oncologia e Neurologia  ARS01_00769, mediante Ordine Diretto di Acquisto  ODA sul Mercato Elettronico della Pubblica Amministrazione - MEPA</t>
  </si>
  <si>
    <t>11920880157-NANOVISION SRL</t>
  </si>
  <si>
    <t>1855.0</t>
  </si>
  <si>
    <t>inizio 09/09/2022, ultimazione 30/09/2022</t>
  </si>
  <si>
    <t xml:space="preserve">Determina di affidamento diretto di Materiale di cancelleria, tramite Accordo Quadro stipulato dallAteneo, ad esito di R.D.O. sul M.E.P.A. per per esigenze di  didattica del Dipartimento di Ingegneria </t>
  </si>
  <si>
    <t>08397890586-ERREBIAN SPA</t>
  </si>
  <si>
    <t>1230.73</t>
  </si>
  <si>
    <t>inizio 09/09/2022, ultimazione 25/09/2022</t>
  </si>
  <si>
    <t>Determina di affidamento diretto di Materiale di cancelleria, tramite Accordo Quadro stipulato dallAteneo, ad esito di R.D.O. sul M.E.P.A. (Decreto Direttoriale del 26 ottobre 2020, prot. n. 1685), per esigenze di  didattica del Prof. Ettore Varricchio -Dipartimento di Scienze e Tecnologie.</t>
  </si>
  <si>
    <t>171.55</t>
  </si>
  <si>
    <t>RAD269_Materiale per Cubo Funzionamneto laboratori DST_ Prof.ssa Silvestri</t>
  </si>
  <si>
    <t>11022.0</t>
  </si>
  <si>
    <t>RAD264_Affidamento diretto, ex art. 36, comma 2, lett.a), del D. Lgs. 50/2016, per un importo pari ad euro 2.326,40 IVA esclusa al 22%, per lacquisto di un set di vetrini per colorazione di tessuti in fluorescenza per le esigenze del Dipartimento di Ingegneria nellambito del progetto NeON - Nanofotonica per nuovi approcci diagnostici e terapEutici in Oncologia e Neurologia  ARS01_00769, mediante Ordine Diretto di Acquisto  ODA sul Mercato Elettronico della Pubblica Amministrazione - MEPA.</t>
  </si>
  <si>
    <t>05819650960-TWIN HELIX SRL</t>
  </si>
  <si>
    <t>2326.4</t>
  </si>
  <si>
    <t>inizio 09/09/2022, ultimazione 09/10/2022</t>
  </si>
  <si>
    <t>RAD230 Affidamento in adesione accordo quadro n. 2 MacBook Pro 14" Chip M1 Max CPU 10-Core GPU 24-core memoria unifica 32GB_ prof. Zimeo</t>
  </si>
  <si>
    <t>5900.16</t>
  </si>
  <si>
    <t>inizio 06/09/2022, ultimazione 29/09/2022</t>
  </si>
  <si>
    <t>Servizio di allestimento palco in Piazza Roma per l' evento denominato "Graduation day 2022"</t>
  </si>
  <si>
    <t>04654020611-Waver srl</t>
  </si>
  <si>
    <t>10000.0</t>
  </si>
  <si>
    <t>inizio 06/09/2022, ultimazione 12/09/2022</t>
  </si>
  <si>
    <t>Fornitura ed installazione di opere di branding per alcuni plessi dell'Universit√† degli Studi del Sannio</t>
  </si>
  <si>
    <t>07267100639-Giudice S.R.L.</t>
  </si>
  <si>
    <t>19440.0</t>
  </si>
  <si>
    <t>inizio 06/09/2022, ultimazione 14/11/2022</t>
  </si>
  <si>
    <t>RAD268_Affidamento diretto, ex art. 36, comma 2, lett.a), del D. Lgs. 50/2016, per un importo pari ad euro 100,00 iva esclusa, per la messa a disposizione di bombole per lalimentazione a gas di un analizzatore termogravitico a disposizione del Laboratorio di Ingegneria Chimica e dei Materiali del Dipartimento di Ingegneria, mediante Ordine diretto di Acquisto.</t>
  </si>
  <si>
    <t>00209070168-SIAD</t>
  </si>
  <si>
    <t>100.0</t>
  </si>
  <si>
    <t>inizio 05/09/2022</t>
  </si>
  <si>
    <t>Affidamento diretto al Caf√© Le Trou della fornitura di un servizio bar per le esigenze degli ospiti del Rettore/Direttore Generale (scorcio 2022/2023)</t>
  </si>
  <si>
    <t>GNTGLI76B67A783I-Caf√® Le Trou</t>
  </si>
  <si>
    <t>inizio 02/09/2022</t>
  </si>
  <si>
    <t>Fornitura di n.1 licenza software Termo Plus</t>
  </si>
  <si>
    <t>02046570426-Namirial S.p.A</t>
  </si>
  <si>
    <t>1460.0</t>
  </si>
  <si>
    <t>inizio 02/09/2022, ultimazione 07/10/2022</t>
  </si>
  <si>
    <t>Lavori di stuccatura e tinteggiatura da realizzarsi in alcune stanze poste sulla piazza Guerrazzi e situate al primo piano del Complesso monumentale denominato San Domenico  Piazza Guerrazzi Benevento</t>
  </si>
  <si>
    <t>01692040627-ZENIT S.R.L.</t>
  </si>
  <si>
    <t>39800.0</t>
  </si>
  <si>
    <t>inizio 30/08/2022, ultimazione 03/10/2022</t>
  </si>
  <si>
    <t>Lavori per la realizzazione, mediante appalto integrato, degli "Interventi infrastrutturali per la sistemazione del palazzetto dello sport Unisannio"</t>
  </si>
  <si>
    <t>14194131000-A.I.CO. CONSORZIO STABILE S.c. a r.l.,07295941004-COSTRUZIONI GENERALI IZZO,03770981219-CACEDI S.R.L.,01071550626-BARONE COSTRUZIONI SRL,03650400652-SAGGESE SPA,05041951210-ReseArch Consorzio Stabile Scarl,01517350631-S.A.C.S. s.r.l.,05180081001-Lampugnale s.r.l.,02334860646-PAPA SERVICE S.A.S. con ruolo 01-MANDANTE,02540020647-CIASULLO COSTRUZIONI SRL con ruolo 02-MANDATARIA,03097240653-VOTO GROUP S.R.L.,04546430630-EDIL GEO SRL,04804621219-E.CO.RES SRL,DLCGPP69A05F839D-GEOLOGO GIUSEPPE DE LUCA con ruolo 01-MANDANTE,08091761216-Senea Srls con ruolo 01-MANDANTE,05637801217-SEA COSTRUZIONI con ruolo 02-MANDATARIA,05898461214-KAM COSTRUZIONI S.R.L.,06127200720-LORUSSO IMPIANTI S.R.L.  con ruolo 01-MANDANTE,08126680720-LACOGEIT S.R.L. con ruolo 02-MANDATARIA,05258581213-B5 s.r.l. con ruolo 01-MANDANTE,06720040630-CFC GROUP SRL con ruolo 02-MANDATARIA,01138100712-F.LLI DI CARLO S.R.L.,04537170633-DEL.MA DI MAROTTA VINCENZO E DEL GIUDICE GIUSEPPE SNC con ruolo 01-MANDANTE,01608100630-Savarese Societ√† Cooperativa con ruolo 02-MANDATARIA</t>
  </si>
  <si>
    <t>02334860646-PAPA SERVICE S.A.S. con ruolo 01-MANDANTE,02540020647-CIASULLO COSTRUZIONI SRL con ruolo 02-MANDATARIA</t>
  </si>
  <si>
    <t>1647971.77</t>
  </si>
  <si>
    <t>inizio 10/08/2022, ultimazione 31/12/2023</t>
  </si>
  <si>
    <t>245000.0</t>
  </si>
  <si>
    <t>Lavori di "Realizzazione di controsoffitti luminosi presso il secondo piano dell'immobile denominato Palazzo S. Domenico" di cui all'Accordo Quadro con unico Operatore Economico (Articolo 54 del D.Lgs. 50/2016) Lavori Edili per la manutenzione degli immobili dell'Universit√† degli Studi del Sannio_CIG 916683685E</t>
  </si>
  <si>
    <t>18720.0</t>
  </si>
  <si>
    <t>inizio 03/08/2022, ultimazione 22/09/2022</t>
  </si>
  <si>
    <t>Lavori di restauro della facciata Sud di palazzo San Domenico sede del Rettorato dell'Universit√† degli Studi del Sannio.</t>
  </si>
  <si>
    <t>01190850626-MATURO COSTRUZIONI SRL</t>
  </si>
  <si>
    <t>119159.87</t>
  </si>
  <si>
    <t>inizio 01/08/2022, ultimazione 31/12/2023</t>
  </si>
  <si>
    <t>106729.15</t>
  </si>
  <si>
    <t>RAD196_Affidamento diretto per Contabilizzatori di energia elettrica e termica+ Sensore per la misura della temperatura</t>
  </si>
  <si>
    <t>4166.3</t>
  </si>
  <si>
    <t>inizio 31/07/2022, ultimazione 10/09/2022</t>
  </si>
  <si>
    <t>Servizio di ristorazione per attivit√† istituzionali ed orientamento - evento "Summer School" dell'Universit√† degli Studi del Sannio.</t>
  </si>
  <si>
    <t>DNFLCU86B23F839V-NOLOEVENTI DI LUCA D'ONOFRIO</t>
  </si>
  <si>
    <t>4400.0</t>
  </si>
  <si>
    <t>inizio 29/07/2022, ultimazione 04/08/2022</t>
  </si>
  <si>
    <t>Servizio di ristorazione per Inaugurazione dellanno accademico 2021 - 2022 dell'Universit√† degli Studi del Sannio</t>
  </si>
  <si>
    <t>inizio 29/07/2022, ultimazione 03/08/2022</t>
  </si>
  <si>
    <t>Affidamento diretto, ai sensi dellart. 36, comma 2, lett. a), del D. Lgs. 50/2016, del servizio di Social Media Marketing per divulgazione istituzionale dei Corsi di Laurea del Dipartimento di Diritto, Economia, Management e Metodi Quantitativi attraverso la realizzazione di KIT di POST destinati al traffico organico con visual dedicati per ciascun canale Facebook e Instagram</t>
  </si>
  <si>
    <t>05553730655-INCOERENZE SRL</t>
  </si>
  <si>
    <t>7580.0</t>
  </si>
  <si>
    <t>inizio 28/07/2022, ultimazione 20/08/2022</t>
  </si>
  <si>
    <t>Acquisto spazi pubblicitari MP Web S.r.l.</t>
  </si>
  <si>
    <t>01535630626-MP WEB s.r.l</t>
  </si>
  <si>
    <t>600.0</t>
  </si>
  <si>
    <t>inizio 27/07/2022</t>
  </si>
  <si>
    <t>Acquisto spazi pubblicitari Gruppo Luna Communication Italia S.r.l.</t>
  </si>
  <si>
    <t>01063880627-Luna Communication Italia srl</t>
  </si>
  <si>
    <t>1639.35</t>
  </si>
  <si>
    <t>1639.0</t>
  </si>
  <si>
    <t>Acquisto spazi pubblicitari A. Manzoni &amp; C. S.p.A.</t>
  </si>
  <si>
    <t>04705810150-A.Manzoni &amp; C. S.p.A</t>
  </si>
  <si>
    <t>1250.0</t>
  </si>
  <si>
    <t>Acquisto spazi pubblicitari Il Guerriero s.c.r.l.</t>
  </si>
  <si>
    <t>Acquisto spazi pubblicitari Consulservice S.r.l.</t>
  </si>
  <si>
    <t>02757950643-Consulservice srl</t>
  </si>
  <si>
    <t>Acquisto spazi pubblicitari Otto media S.r.l.</t>
  </si>
  <si>
    <t>01592210627-Ottomedia S.r.l.</t>
  </si>
  <si>
    <t>RAD229_Affidamento diretto, ex art. 36, comma 2, lett.a), del D. Lgs. 50/2016, per un importo pari ad euro 6.071,00 IVA esclusa al 22%, per lacquisto di Raspberry Pi 4 con accessori, per le esigenze del Dipartimento di Ingegneria mediante Ordine diretto di Acquisto sul Mercato Elettronico della Pubblica Amministrazione - MEPA.</t>
  </si>
  <si>
    <t>10324241008-ULTRAPROMEDIA S.R.L.</t>
  </si>
  <si>
    <t>6071.0</t>
  </si>
  <si>
    <t>inizio 25/07/2022, ultimazione 30/09/2022</t>
  </si>
  <si>
    <t xml:space="preserve">Accordo Quadro con unico operatore economico, ai sensi dellart.54 comma 3 del D. lgs. 50/2016 e s.m.i., valido per 24 mesi, per la fornitura a somministrazione, resa franco d'imballo, trasporto e consegna, di prodotti chimici e biologici necessari al funzionamento dei Laboratori chimici e biologici del Dipartimento di  Scienze e Tecnologie dellUniversit√† degli Studi del Sannio </t>
  </si>
  <si>
    <t>24391.73</t>
  </si>
  <si>
    <t>inizio 21/07/2022, ultimazione 21/07/2024</t>
  </si>
  <si>
    <t xml:space="preserve">RAD244_Affidamento diretto, ex art. 36, comma 2, lett.a), del D. Lgs. 50/2016, per un importo pari ad euro 553,77 IVA esclusa al 22%, per lacquisto di una Olimpus Tought TG-6 RED e accessori per le esigenze del Dipartimento di Scienze e Tecnologie mediante Ordine diretto di Acquisto  ODA sul Mercato Elettronico della Pubblica Amministrazione - MEPA  </t>
  </si>
  <si>
    <t xml:space="preserve">02433630502-FOTOAMATORE SRL </t>
  </si>
  <si>
    <t>553.77</t>
  </si>
  <si>
    <t>inizio 21/07/2022, ultimazione 12/09/2022</t>
  </si>
  <si>
    <t>Collaudo Statico in Corso d'Opera e Tecnico Amministrativo Finale per i lavori Interventi infrastrutturali per la sistemazione del Palazzetto dello sport Unisannio.</t>
  </si>
  <si>
    <t>FLLNTN72B13A783X-FALLUTO ANTONIO</t>
  </si>
  <si>
    <t>24000.0</t>
  </si>
  <si>
    <t>inizio 20/07/2022, ultimazione 31/01/2024</t>
  </si>
  <si>
    <t>RAD256_articolo scientifico - oneri obbligatori di pubblicazione con affidamento diretto ex art. 36, comma 2, lett. a), del D. Lgs. 50/2016, per un importo pari a USD 2.950,00 oltre oneri extra UE su richiesta del professore Pasquale Vito nellambito del progetto di ricerca "INBIOMED PON RI 2014-2020  AZIONE II  CLUSTER TECNOLOGICI AVVISO MIUR D.D. N. 1735/2017-) CUP F26C18000160005" del Centro di responsabilit√† Dipartimento di Scienze e Tecnologie</t>
  </si>
  <si>
    <t>2950.0</t>
  </si>
  <si>
    <t>inizio 20/07/2022, ultimazione 25/07/2022</t>
  </si>
  <si>
    <t>RAD272_Pubblicazione articolo scientifico su rivista specializzata_DST Prof. Pancione</t>
  </si>
  <si>
    <t>2860.9</t>
  </si>
  <si>
    <t>RAD249 Affidamento in adesione accordo quadro n.1 DELL XPS 15 - Intel core i9-12900HK_ prof. Glielmo</t>
  </si>
  <si>
    <t>2553.32</t>
  </si>
  <si>
    <t>inizio 19/07/2022, ultimazione 12/09/2022</t>
  </si>
  <si>
    <t>2553.52</t>
  </si>
  <si>
    <t>RAD251_Affidamento diretto, ai sensi dellart. 36, comma 2, lett. a), del D. Lgs. 50/2016, per un importo pari ad euro 1.600,00 oltre IVA, per lacquisizione di una telecamera Webcam Dome 2 Mpixel Day &amp; Night per il monitoraggio di zone di frane per le esigenze del Dipartimento di Scienze e Tecnologie.</t>
  </si>
  <si>
    <t>02778770343-BIT LINE SNC</t>
  </si>
  <si>
    <t>inizio 19/07/2022, ultimazione 31/07/2022</t>
  </si>
  <si>
    <t>Fornitura di panchine, cestini, posacenere e rastrelliera porta bici da posizionare presso il DST didattica dellUniversit√† degli studi del Sannio.</t>
  </si>
  <si>
    <t>02928100649-SALFI srls</t>
  </si>
  <si>
    <t>inizio 18/07/2022, ultimazione 13/09/2022</t>
  </si>
  <si>
    <t>Determina di affidamento diretto della fornitura di attrezzature Informatiche, tramite ricorso allAccordo Quadro stipulato dallAteneo, ad esito di R.D.O. sul M.E.P.A. (Decreto Direttoriale del 2 marzo 2022, n. 246), con il fornitore AM Informatica di Monaco Armando, per esigenze di ricerca e didattica presso il Dipartimento di Dipartimento di Scienze e Tecnologie - Prof. Filippo Russo</t>
  </si>
  <si>
    <t>2249.0</t>
  </si>
  <si>
    <t>inizio 15/07/2022, ultimazione 31/07/2022</t>
  </si>
  <si>
    <t>Affidamento diretto ex art. 36, comma 2, lett. a) del D. Lgs. 50/2016, per riparazione del Macbook pro 15- Apple in dotazione al Prof. Biagio Simonetti del Dipartimento di Diritto, Economia, Management e Metodi quantitativi - DEMM</t>
  </si>
  <si>
    <t>09050681213-FG INFORMATICA SRLS</t>
  </si>
  <si>
    <t>622.13</t>
  </si>
  <si>
    <t>RAD237_Affidamento diretto, ai sensi dellart. 36, comma 2, lett. a), del D. Lgs. 50/2016, per un importo pari ad euro 2.200,00 oltre IVA, per lacquisizione di materiale costruito per prove sperimentali su elementi in cemento armato, per le esigenze di ricerca del Dipartimento di Ingegneria.</t>
  </si>
  <si>
    <t>03240821219-MECCANICA FAGGIO</t>
  </si>
  <si>
    <t>inizio 13/07/2022, ultimazione 12/09/2022</t>
  </si>
  <si>
    <t>Servizio di trasporto/navetta in occasione della Summer School UNISANNIO che si terr√† nel mese di luglio 2022.</t>
  </si>
  <si>
    <t>1500.0</t>
  </si>
  <si>
    <t>inizio 13/07/2022, ultimazione 14/09/2022</t>
  </si>
  <si>
    <t xml:space="preserve">Accordo quadro con unico operatore economico, ai sensi dellart.54 comma 3 del D.lgs 50/2016 e s.m.i., valido per 24 mesi, per la fornitura a somministrazione, resa franco d'imballo, trasporto e consegna, di prodotti reagenti per separazione e analisi proteine necessari al funzionamento dei Laboratori chimici e biologici del Dipartimento di Scienze e Tecnologie dellUniversit√† degli Studi del Sannio </t>
  </si>
  <si>
    <t>27639.3</t>
  </si>
  <si>
    <t>inizio 13/07/2022, ultimazione 13/07/2024</t>
  </si>
  <si>
    <t>Fornitura di n. 700 penne personalizzate per le esigenze relative all'evento Summer School 2022"</t>
  </si>
  <si>
    <t>09734470967-StampaS√¨ Srl</t>
  </si>
  <si>
    <t>182.0</t>
  </si>
  <si>
    <t>inizio 13/07/2022, ultimazione 13/07/2022</t>
  </si>
  <si>
    <t>Organizzazione di due corsi di aggiornamento destinati alle unit√† di personale addette alle squadre antincendio istituite nei vari plessi edilizi dell'Universit√† degli Studi del Sannio.</t>
  </si>
  <si>
    <t>01476460629-Ing.Carlo Sebastiano Ruzzo</t>
  </si>
  <si>
    <t>920.0</t>
  </si>
  <si>
    <t>inizio 12/07/2022, ultimazione 30/04/2023</t>
  </si>
  <si>
    <t>Fornitura di trofei personalizzati Unisannio</t>
  </si>
  <si>
    <t>inizio 12/07/2022, ultimazione 20/07/2022</t>
  </si>
  <si>
    <t xml:space="preserve">DING133_172_193 affidamento diretto in adesione accordo quadro materiale informatico </t>
  </si>
  <si>
    <t>7556.06</t>
  </si>
  <si>
    <t>inizio 12/07/2022, ultimazione 30/09/2022</t>
  </si>
  <si>
    <t>Affidamento diretto ex art. 36, comma 2, lett. a) del D. Lgs. 50/2016, alla Societ√† FISHER SCIENTIFIC S.a.s., con sede a Rodano (MI), Strada Rivoltana Km 4 - Cap. 20053  P.IVA/C.F. 13209130155, per l'acquisto di materiale di consumo per il Laboratorio di Ecologia del  Dipartimento di Scienze e Tecnologie, relativo al progetto DOTTPORXXXIV - Budget 40%- Dottorati Innovativi a caratterizzazione industriale - Carrieri, di cui √® responsabile scientifico il Direttore didattico la Prof.ssa Maria Moreno</t>
  </si>
  <si>
    <t>08948430965-FISHER SCIENTIFIC SAS</t>
  </si>
  <si>
    <t>1510.0</t>
  </si>
  <si>
    <t>inizio 11/07/2022</t>
  </si>
  <si>
    <t>1480.0</t>
  </si>
  <si>
    <t xml:space="preserve">Affidamento diretto ex art. 36, comma 2, lett. a) del D. Lgs. 50/2016, alla Societ√† M&amp;M BIOTECH S.c.a.r.l. con sede a Napoli (NA), Via de Bonis G.Generale, n.81 - Cap. 80123 - P.IVA/C.F. 05632311212, per l'acquisto di materiale di consumo per il Lab- 27/29 del Dipartimento di Scienze e Tecnologie, nell'ambito del Progetto "VERITAS"di cui √® responsabile scientifico il Prof. Carmine Guarino. </t>
  </si>
  <si>
    <t>1919.7</t>
  </si>
  <si>
    <t>Fornitura di polo personalizzate per il personale tecnico amministrativo che partecipa al Graduation Day 2022</t>
  </si>
  <si>
    <t>04263991210-MARIA DE MEDICI S.R.L. INDUSTRIA CONFEZIONI</t>
  </si>
  <si>
    <t>954.0</t>
  </si>
  <si>
    <t>inizio 08/07/2022, ultimazione 25/07/2022</t>
  </si>
  <si>
    <t>Servizi di catering e ristorazioni per attivit√† istituzionali e di orientamento Unisannio</t>
  </si>
  <si>
    <t>inizio 08/07/2022, ultimazione 15/07/2022</t>
  </si>
  <si>
    <t>Fornitura di opere di branding relative alle preiscrizioni all'Universit√† degli Studi del Sannio per l' a.a. 2022/2023.</t>
  </si>
  <si>
    <t>01433680624-TEXI SRL</t>
  </si>
  <si>
    <t>6534.0</t>
  </si>
  <si>
    <t>Servizi di stampa per le attivit√† di orientamento dell'Universit√† degli Studi del Sannio.</t>
  </si>
  <si>
    <t>2047.0</t>
  </si>
  <si>
    <t>inizio 07/07/2022, ultimazione 12/07/2022</t>
  </si>
  <si>
    <t>Corso ITA - Codici di Comportamento</t>
  </si>
  <si>
    <t>01593590605-I.T.A. SRL UNICO SOCIO</t>
  </si>
  <si>
    <t>590.0</t>
  </si>
  <si>
    <t>inizio 06/07/2022, ultimazione 06/07/2022</t>
  </si>
  <si>
    <t>Servizio di manutenzione per due ascensori a servizio dell' edificio ex Enel di Via dei Mulini</t>
  </si>
  <si>
    <t>3225.0</t>
  </si>
  <si>
    <t>inizio 04/07/2022, ultimazione 31/12/2023</t>
  </si>
  <si>
    <t>1785.0</t>
  </si>
  <si>
    <t>Affidamento diretto ex art. 36, comma 2, lett. a) del D. Lgs. 50/2016, alla Societ√† Aruba S.p.A., con sede a Ponte San Pietro (BG) in Via San Clemente n. 53, cap. 24036, del servizio di rinnovo  di n. 6 domini Unisannio - "Pacchetto Hosting Easy Linux" per esigenze del Dipartimento di Diritto, Economia, Management e Metodi Quantitativi della Universit√† degli Studi del Sannio - DEMM</t>
  </si>
  <si>
    <t>04552920482-ARUBA S.p.A.</t>
  </si>
  <si>
    <t>330.0</t>
  </si>
  <si>
    <t>inizio 04/07/2022, ultimazione 31/12/2022</t>
  </si>
  <si>
    <t>Realizzazione di uno shooting fotografico per l'orientamento dell'Universit√† degli Studi del Sannio.</t>
  </si>
  <si>
    <t>TDNFNC62R49C096L-Franca Tudini</t>
  </si>
  <si>
    <t>inizio 04/07/2022, ultimazione 12/10/2022</t>
  </si>
  <si>
    <t>Servizi inerenti la realizzazione del progetto "L'Unisannio che verr√†"</t>
  </si>
  <si>
    <t>ZMPRRM90T09A783H-PA GLOBAL SERVICE</t>
  </si>
  <si>
    <t>26000.0</t>
  </si>
  <si>
    <t>inizio 30/06/2022, ultimazione 20/07/2022</t>
  </si>
  <si>
    <t>RAD224_Affidamento diretto, ai sensi dellart. 36, comma 2, lett. a), del D. Lgs. 50/2016, per un importo pari ad euro 1.350,00 oltre IVA, per lacquisizione di servizi di ristorazione per 40 partecipanti allevento di inaugurazione dellHZEB del 7 luglio 2022</t>
  </si>
  <si>
    <t>01662340627-Sale della Terra Consorzio prevalentemente di cooperative sociali (ex art. 8 Legge 381/91) societ√† cooperativa sociale</t>
  </si>
  <si>
    <t>1350.0</t>
  </si>
  <si>
    <t>inizio 30/06/2022, ultimazione 19/09/2022</t>
  </si>
  <si>
    <t>Richiesta di Offerta per la realizzazione di uno spot per l'orientamento dell'Universit√† degli Studi del Sannio.</t>
  </si>
  <si>
    <t>07238131002-SPM TECNOLOGIE SRL</t>
  </si>
  <si>
    <t>inizio 29/06/2022, ultimazione 25/07/2022</t>
  </si>
  <si>
    <t>Articolo scientifico - oneri obbligatori di pubblicazione con affidamento diretto ex art. 36, comma 2, lett. a), del D. Lgs. 50/2016, su richiesta della professoressa Maria Rosaria Simeone afferente al Dipartimento di Diritto, Economia, Management e Metodi Quantitativi.</t>
  </si>
  <si>
    <t>864.82</t>
  </si>
  <si>
    <t>inizio 26/06/2022, ultimazione 30/07/2022</t>
  </si>
  <si>
    <t>Fornitura di toghe e tocchi per la Graduation Day 2022</t>
  </si>
  <si>
    <t>16800.0</t>
  </si>
  <si>
    <t>inizio 24/06/2022, ultimazione 11/07/2022</t>
  </si>
  <si>
    <t>RAD165_Affidamento diretto, ex art. 36, comma 2, lett.a), del D. Lgs. 50/2016, per un importo pari ad euro 3.072,00, IVA esclusa, per lacquisizione di un servizio annuale di manutenzione (Maintenance Specification Contract) che comprende le licenze software e l'hardware acquistati da Siemens Industry Software S.r.l. (SISW) per le esigenze del Dipartimento di Ingegneria nellambito del Progetto PON08 PON 01_02366 STRIT STRESS.</t>
  </si>
  <si>
    <t>12291080153-SIEMENS INDUSTRY SOFTWARE</t>
  </si>
  <si>
    <t>3272.0</t>
  </si>
  <si>
    <t>inizio 19/06/2022, ultimazione 12/09/2022</t>
  </si>
  <si>
    <t>RAD157_Affidamento diretto ex art. 36, comma 2, lett.a) del D. Lgs. 50/2016, per un importo pari ad euro 1.972,00 IVA esclusa al 22%, per la licenza annuale dei software Plaxis2D e 3D per attivit√† di analisi sismica in essere presso il Dipartimento di Ingegneria mediante Ordine diretto di Acquisto  ODA sul Mercato Elettronico della Pubblica Amministrazione - MEPA</t>
  </si>
  <si>
    <t>07439551214-GEOSPHERA HI-TECH SUPPLIES</t>
  </si>
  <si>
    <t>1972.0</t>
  </si>
  <si>
    <t>inizio 18/06/2022, ultimazione 12/09/2022</t>
  </si>
  <si>
    <t>Corsi su PNRR</t>
  </si>
  <si>
    <t>05994580727-OPERA S.R.L.</t>
  </si>
  <si>
    <t>290.0</t>
  </si>
  <si>
    <t>inizio 17/06/2022, ultimazione 17/06/2022</t>
  </si>
  <si>
    <t>RAD164_Affidamento diretto, ex art. 36, comma 2, lett.a), del D. Lgs. 50/2016, per un importo pari ad euro 2.000,00 IVA esclusa al 22%, per lacquisizione di una licenza di assistenza ed aggiornamento del software midas TSS accademico fino al 30 aprile 2023 per le esigenze del Dipartimento di Ingegneria nellambito del progetto PON08-PON 01_02366  STRIT STRESS mediante Ordine diretto di Acquisto  ODA sul Mercato Elettronico della Pubblica Amministrazione - MEPA.</t>
  </si>
  <si>
    <t>00000000000-CSPFea s. c.</t>
  </si>
  <si>
    <t>inizio 17/06/2022, ultimazione 12/09/2022</t>
  </si>
  <si>
    <t>Corso di formazione UniStud</t>
  </si>
  <si>
    <t>12398000013-LINEATENEI S.A.S</t>
  </si>
  <si>
    <t>RAD144_Affidamento diretto, ex art. 36, comma 2, lett.a), del D. Lgs. 50/2016, per un importo pari ad euro 3.204,00 IVA esclusa al 22%, per lacquisto di Accelerometri ed accessori per analisi dinamica delle strutture e vulnerabilit√† sismica per le esigenze del Dipartimento di Ingegneria mediante Ordine diretto di Acquisto  ODA sul Mercato Elettronico della Pubblica Amministrazione - MEPA</t>
  </si>
  <si>
    <t>00481810638-BOVIAR S.R.L.</t>
  </si>
  <si>
    <t>3204.0</t>
  </si>
  <si>
    <t xml:space="preserve">Affidamento diretto, ai sensi dell'art. 36, comma 2, lett. a), del D. Lgs. 50/2016, e ss.mm.ii., di n. 1 pranzo nell'ambito del Congresso annuale dei Dottorandi del SSD ING-IND/17  Industrial System Engineering denominato PhD on the go Marco Garetti </t>
  </si>
  <si>
    <t>2240.0</t>
  </si>
  <si>
    <t>inizio 16/06/2022, ultimazione 17/06/2022</t>
  </si>
  <si>
    <t xml:space="preserve">Affidamento diretto, ai sensi dellart. 36, comma 2, lett. a), del D. Lgs. 50/2016, e ss.mm.ii., di n. 3 coffee break e n. 1 light lunch nellambito del Congresso annuale dei Dottorandi del SSD ING-IND/17  Industrial System Engineering denominato PhD on the go Marco Garetti </t>
  </si>
  <si>
    <t>2024.0</t>
  </si>
  <si>
    <t>RAD209_articolo scientifico - oneri obbligatori di pubblicazione con affidamento diretto ex art. 36, comma 2, lett. a), del D. Lgs. 50/2016, per un importo pari a USD 1.250,00 oltre oneri extra UE su richiesta della professoressa Silvia Ullo afferente al Dipartimento di Ingegneria.</t>
  </si>
  <si>
    <t>inizio 16/06/2022, ultimazione 30/06/2022</t>
  </si>
  <si>
    <t xml:space="preserve">PIAO </t>
  </si>
  <si>
    <t>05181300962-SISTEMA SUSIO S.R.L.</t>
  </si>
  <si>
    <t>inizio 15/06/2022, ultimazione 15/06/2022</t>
  </si>
  <si>
    <t>Realizzazione di pannelli grafici per le attivit√† dei servizi di supporto alle azioni di orientamento.</t>
  </si>
  <si>
    <t>01239750621-F.lli Battaglino snc di Battaglino G. &amp; C.</t>
  </si>
  <si>
    <t>29250.0</t>
  </si>
  <si>
    <t>inizio 15/06/2022, ultimazione 16/06/2022</t>
  </si>
  <si>
    <t>RAD175affidamento diretto di Materiale Informatico Vario, tramite Accordo Quadro stipulato dallAteneo, ad esito di R.D.O. sul M.E.P.A. (Decreto Direttoriale del 02 marzo 2021, n. 239), con il fornitore Mods Art S.r.l. TONER Prof. Savino</t>
  </si>
  <si>
    <t>347.02</t>
  </si>
  <si>
    <t>inizio 10/06/2022, ultimazione 31/07/2022</t>
  </si>
  <si>
    <t>RAD64affidamento diretto di Materiale Informatico Vario, tramite Accordo Quadro stipulato dallAteneo, ad esito di R.D.O. sul M.E.P.A. (Decreto Direttoriale del 02 marzo 2021, n. 239), con il fornitore Mods Art S.r.l. TONER Prof. Del Vecchio</t>
  </si>
  <si>
    <t>515.36</t>
  </si>
  <si>
    <t xml:space="preserve">Corso di Formazione Conto Annuale </t>
  </si>
  <si>
    <t>230.0</t>
  </si>
  <si>
    <t>inizio 08/06/2022, ultimazione 08/06/2022</t>
  </si>
  <si>
    <t>offerta per acquisto software STS</t>
  </si>
  <si>
    <t>01191380623-INFINITY SYSTEMS SRL UNIPERSONALE</t>
  </si>
  <si>
    <t>4510.0</t>
  </si>
  <si>
    <t>inizio 08/06/2022, ultimazione 09/06/2022</t>
  </si>
  <si>
    <t>Adesione al Progetto di formazione/intervento "Procedamus" per l'anno 2022</t>
  </si>
  <si>
    <t>inizio 07/06/2022, ultimazione 07/06/2022</t>
  </si>
  <si>
    <t>Affidamento diretto ex art. 36, comma 2, lett. a) del D. Lgs. 50/2016,  per la stampa e  pubblicazione del volume  dal titolo  l paesaggio culturale della Falanghina del Sannio,  dei Professori Giuseppe Marotta e Concetta Nazzaro</t>
  </si>
  <si>
    <t>00311580377-Societ√† Editrice Il Mulino</t>
  </si>
  <si>
    <t>2049.19</t>
  </si>
  <si>
    <t>inizio 07/06/2022, ultimazione 25/06/2022</t>
  </si>
  <si>
    <t>A.Q. - Acquisto materiale di consumo -Prof.ssa De Nicola</t>
  </si>
  <si>
    <t>328.0</t>
  </si>
  <si>
    <t>inizio 06/06/2022, ultimazione 06/06/2022</t>
  </si>
  <si>
    <t>RAD154_Affidamento diretto, ex art. 36, comma 2, lett.a), del D. Lgs. 50/2016, per un importo pari ad euro 6.900,00, per lacquisto di n.1 tavola vibrante miniaturizzata per le esigenze del Dipartimento di Ingegneria _prof. Michelina Monaco</t>
  </si>
  <si>
    <t>TR0230452046-TDG Teknik Destek Grubu</t>
  </si>
  <si>
    <t>6900.0</t>
  </si>
  <si>
    <t>inizio 01/06/2022, ultimazione 31/07/2022</t>
  </si>
  <si>
    <t>Affidamento diretto ex art. 36, comma 2, lett. a) del D. Lgs. 50/2016, alla Societ√† EUROCLONE S.p.A. a socio unico, con sede a Milano (MI), Via Spezia,1 - Cap. 20142  P.IVA/C.F. 08126390155, per l'acquisto di materiale di consumo per il Laboratorio di Genetica presso il Dipartimento di Scienze e Tecnologie, relativo al progetto Inbiomed  Prodotti Innovativi ad alto contenuto biotecnologico per il settore medicale, di cui √® responsabile scientifico il Prof. Pasquale Vito.</t>
  </si>
  <si>
    <t>773.14</t>
  </si>
  <si>
    <t>inizio 01/06/2022</t>
  </si>
  <si>
    <t>197.41</t>
  </si>
  <si>
    <t>RAD177_Affidamento diretto, ai sensi dellart. 36, comma 2, lett. a), del D. Lgs. 50/2016, per un importo pari ad euro 2.160,00 oltre IVA, per lacquisizione di N. 4 accelerometri piezoelettrici miniaturizzati, dotati di cavo coassiale low-noise per le esigenze del Dipartimento di Ingegneria_Prof.ssa Monaco</t>
  </si>
  <si>
    <t>08536211009-PCB PIEZOTRONICS SRL</t>
  </si>
  <si>
    <t>2160.0</t>
  </si>
  <si>
    <t>Adesione Convenzione Consip Lotto 13 (Campania Energia Elettrica ed. 19) Prezzo Fisso a 18 mesi a servizio del Complesso Immobiliare denominato Ex Enel con sede in Benevento alla Via dei Mulini, snc,</t>
  </si>
  <si>
    <t>110655.74</t>
  </si>
  <si>
    <t>inizio 01/06/2022, ultimazione 01/06/2023</t>
  </si>
  <si>
    <t>93949.59</t>
  </si>
  <si>
    <t>RAD182_Affidamento diretto, ex art. 36, comma 2, lett.a), del D. Lgs. 50/2016, per un importo pari ad euro 2.311,00 IVA esclusa al 22%, per lacquisto di un Durometro digitale per le esigenze del Dipartimento di Ingegneria mediante ordine eseguito su MEPA Mercato Elettronico della Pubblica Amministrazione</t>
  </si>
  <si>
    <t>2311.0</t>
  </si>
  <si>
    <t>Articolo scientifico - oneri obbligatori di pubblicazione con affidamento diretto ex art. 36, comma 2, lett. a), del D. Lgs. 50/2016, su richiesta della professoressa Maria Rosaria Simeone afferente al Dipartimento di Diritto, Economia, Management e Metodi Quantitativi</t>
  </si>
  <si>
    <t xml:space="preserve">115694943-MDPI </t>
  </si>
  <si>
    <t>901.71</t>
  </si>
  <si>
    <t>inizio 31/05/2022, ultimazione 15/06/2022</t>
  </si>
  <si>
    <t>Servizio di organizzazione evento NATO in CHISINAU - Moldavia (prenotazione ed emissione biglietti, servizi alberghieri, servizi di ristorazione e servizi connessi)</t>
  </si>
  <si>
    <t>01262990581-Regent International s.r.l.</t>
  </si>
  <si>
    <t>2360.12</t>
  </si>
  <si>
    <t>inizio 30/05/2022, ultimazione 05/06/2022</t>
  </si>
  <si>
    <t>Lavori di per la realizzazione di un Laboratorio di Ricerca Sperimentale e Didattica avanzata nell'area dell'ingegneria civile, con particolare riferimento all'ingegneria sismica e dei materiali da costruzione, alla geotecnica ed alle costruzioni idrauliche</t>
  </si>
  <si>
    <t>04339021000-EDIL ROMA  S.R.L.,07129410721-SUD SERVICE SRL,00792700627-De Masi S.r.l.,01881650616-COSTRUZIONI DE.M.AL. SRL,04128780618-GIZA COSTRUZIONI S.R.L.S.,80005530631-PROTECNO IMPIANTI SRL,02099930618-COGESA DI CORVINO VINCENZO S.R.L.,03568420636-VA.BEN SRL,05083661214-D'ALESSANDRO COSTRUZIONI SRL,06182760725-CAPORALE S.r.l,14269521002-GE.TI COSTRUZIONI GENERALI S.R.L.,01600330615-VINCENZO MODUGNO SRL,03931011211-COSTRUZIONI VITALE S.R.L.,04732890654-Vangone s.r.l.</t>
  </si>
  <si>
    <t>03931011211-COSTRUZIONI VITALE S.R.L.</t>
  </si>
  <si>
    <t>1049143.83</t>
  </si>
  <si>
    <t>inizio 30/05/2022</t>
  </si>
  <si>
    <t>Fornitura di arredi per la sede del rettorato dellUniversit√† degli Studi del Sannio</t>
  </si>
  <si>
    <t>65200.0</t>
  </si>
  <si>
    <t>inizio 27/05/2022, ultimazione 28/09/2022</t>
  </si>
  <si>
    <t>RAD161_articolo scientifico - oneri obbligatori di pubblicazione con affidamento diretto ex art. 36, comma 2, lett. a), del D. Lgs. 50/2016, per un importo pari a euro 1.785,39 oltre oneri intra UE su richiesta del professore Livio Muccillo afferente al Dipartimento di Scienze e Tecnologie.</t>
  </si>
  <si>
    <t>1785.39</t>
  </si>
  <si>
    <t>inizio 27/05/2022, ultimazione 30/06/2022</t>
  </si>
  <si>
    <t>Servizio di ristorazione per n. 1 cena in data 12 maggio 2022, per n. 60 persone in occasione del Convegno dal titolo "Il ruolo del giurista tra accademia e societ√†", che si svolger√† presso l'Universit√† degli Studi del Sannio i giorni 12 e 13 maggio 2022</t>
  </si>
  <si>
    <t>01675770620-COCOTTE SRLS</t>
  </si>
  <si>
    <t>inizio 26/05/2022</t>
  </si>
  <si>
    <t>RAD152_articolo scientifico - oneri obbligatori di pubblicazione con affidamento diretto ex art. 36, comma 2, lett. a), del D. Lgs. 50/2016, per un importo pari a euro 1.790,00. oltre oneri extra UE su richiesta del professore Andrea Cusano afferente al Dipartimento di Ingegneria</t>
  </si>
  <si>
    <t>1790.0</t>
  </si>
  <si>
    <t>inizio 26/05/2022, ultimazione 30/06/2022</t>
  </si>
  <si>
    <t>Servizio di affissione di manifesti 6 x 3 m e vele mobili per OPEN DAY BENEVENTO - CERRETO SANNITA  MONTESARCHIO - PIEDIMONTE MATESE.</t>
  </si>
  <si>
    <t>NGLGNS67D57M093Y-Performance Officina Grafica di Agnese Angelone</t>
  </si>
  <si>
    <t>1330.0</t>
  </si>
  <si>
    <t>inizio 26/05/2022, ultimazione 27/05/2022</t>
  </si>
  <si>
    <t>Servizio di catering per coffee break e light lunch in occasione degli eventi del 12-13-20-24 maggio 2022 presso l'Universit√† degli Studi del Sannio</t>
  </si>
  <si>
    <t>03070430644-Noloeventi</t>
  </si>
  <si>
    <t>3650.0</t>
  </si>
  <si>
    <t>inizio 26/05/2022, ultimazione 29/06/2022</t>
  </si>
  <si>
    <t>RAD170_Affidamento diretto, ex art. 36, comma 2, lett.a), del D. Lgs. 50/2016, mediante Ordine Diretto di Acquisto con ricorso ad Operatore Economico presente nell'elenco telematico di Ateneo per un servizio di autonoleggio con conducente da effettuarsi il giorno 1 giugno 2022 per un importo pari ad euro 275,00 iva inclusa al 10%.</t>
  </si>
  <si>
    <t>275.0</t>
  </si>
  <si>
    <t>inizio 25/05/2022, ultimazione 30/06/2022</t>
  </si>
  <si>
    <t>RAD173_articolo scientifico - oneri obbligatori di pubblicazione con affidamento diretto ex art. 36, comma 2, lett. a), del D. Lgs. 50/2016, per un importo pari a euro 1.758,34 oltre oneri intra UE su richiesta della professoressa Paola Revellino afferente al Dipartimento di Scienze e Tecnologie.</t>
  </si>
  <si>
    <t>1751.34</t>
  </si>
  <si>
    <t>RAD169_articolo scientifico - oneri obbligatori di pubblicazione con affidamento diretto ex art. 36, comma 2, lett. a), del D. Lgs. 50/2016, per un importo pari a USD 2.490,00. oltre oneri intra UE su richiesta della professoressa Rosaria Sciarrillo afferente al Dipartimento di Scienze e Tecnologie</t>
  </si>
  <si>
    <t>2490.0</t>
  </si>
  <si>
    <t>inizio 23/05/2022, ultimazione 30/05/2022</t>
  </si>
  <si>
    <t>RAD151_Affidamento diretto, ex art. 36, comma 2, lett.a), del D. Lgs. 50/2016, mediante Ordine Diretto di Acquisto per un servizio di autonoleggio con conducente da effettuarsi il giorno 30 maggio 2022 per una visita guidata degli studenti di Ingegneria Civile presso una struttura in costruzione sita in Mariglianella (NA), per un importo pari ad euro 400,00 escluso iva al 10%.</t>
  </si>
  <si>
    <t>01166930626-Mazzone Turismo S.a.s. di Luca Mazzone &amp; C</t>
  </si>
  <si>
    <t>inizio 19/05/2022, ultimazione 30/06/2022</t>
  </si>
  <si>
    <t>Servizio di grafica e stampa per elezioni degli studenti CNSU e Adisurc. Affidamento ai sensi dellarticolo 36, comma 2, lettera a), del D.Lgs. 50/2016 e s.m.i. a favore delloperatore economico B.F.T. di Giovanni Teta Piazza Luigi Sodo n.8, 82032 - CERRETO SANNITA (BN), P.I. 01100510625</t>
  </si>
  <si>
    <t>3390.0</t>
  </si>
  <si>
    <t>inizio 19/05/2022, ultimazione 21/05/2022</t>
  </si>
  <si>
    <t>Trattativa diretta MEPA per realizzazione n. 12 provini di sezione circolare in cemento armato_Laboratorio Strutture Composte</t>
  </si>
  <si>
    <t>01750960625-COSTRUIZIONI MONTEDIL SRLS</t>
  </si>
  <si>
    <t>16200.0</t>
  </si>
  <si>
    <t>RAD102_affidamento diretto di Materiale Informatico Vario, tramite Accordo Quadro stipulato dallAteneo, ad esito di R.D.O. sul M.E.P.A. (Decreto Direttoriale del 02 marzo 2021, n. 239), con il fornitore Mods Art S.r.l.,, per esigenze di ricerca e didattica del Dipartimento di Ingegneria, ai sensi dell'art. 36, co 2, lett. a) del D.Lgs. 50/2016_prof. ULLO</t>
  </si>
  <si>
    <t>3101.93</t>
  </si>
  <si>
    <t>Corso AIB Biblioteche</t>
  </si>
  <si>
    <t>490.0</t>
  </si>
  <si>
    <t>inizio 19/05/2022, ultimazione 19/05/2022</t>
  </si>
  <si>
    <t xml:space="preserve">RAD396_affidamento diretto di Materiale Informatico Vario, tramite Accordo Quadro stipulato dallAteneo, ad esito di R.D.O. sul M.E.P.A. (Decreto Direttoriale del 02 marzo 2021, n. 239), con il fornitore Mods Art S.r.l.,, per esigenze di ricerca e didattica del Dipartimento di Ingegenria, ai sensi dell'art. 36, co 2, lett. a) del D.Lgs. 50/2016_Prof. De Masi </t>
  </si>
  <si>
    <t>206.8</t>
  </si>
  <si>
    <t>RAD66_Determina di affidamento diretto di Materiale Informatico Vario, tramite Accordo Quadro stipulato dallAteneo, ad esito di R.D.O. sul M.E.P.A. (Decreto Direttoriale del 02 marzo 2021, n. 239), con il fornitore Mods Art S.r.l.,, per esigenze di ricerca e didattica del Dipartimento di Ingegenria, ai sensi dell'art. 36, co 2, lett. a) del D.Lgs. 50/2016_Prof. Romano Fistola</t>
  </si>
  <si>
    <t>310.65</t>
  </si>
  <si>
    <t>RAD137_Affidamento diretto, ai sensi dellart. 36, comma 2, lett. a), del D. Lgs. 50/2016, per un importo pari ad euro 1.480,00 oltre IVA, per la realizzazione di un prototipo base con Arduino MKR GSM  + attivit√† d training per le esigenze del Dipartimento di Scienze e Tecnologie</t>
  </si>
  <si>
    <t>Affidamento diretto ex art. 36, comma 2, lett. a) del D. Lgs. 50/2016, alla Societ√† Wageningen Academy Publishers , con sede in Olanda per un importo pari ad  1.100,00 per la pubblicazione dellarticolo scientifico Collective smart innovations and corporate governance models in Italian wine cooperatives: the opportunities of the Farm to Fork Strategy,  autori: Concetta Nazzaro; Marcello Stanco; Anna Uliano; Marco Lerro; Giuseppe Marotta</t>
  </si>
  <si>
    <t>810447204B01-Wageningen Academy Publishers</t>
  </si>
  <si>
    <t>inizio 18/05/2022, ultimazione 15/06/2022</t>
  </si>
  <si>
    <t>RAD147_Affidamento diretto, ex art. 36, comma 2, lett.a), del D. Lgs. 50/2016, mediante Ordine Diretto di Acquisto con ricorso ad Operatore Economico presente nell'elenco telematico di Ateneo per un servizio di autonoleggio con conducente da effettuarsi il giorno 20 maggio 2022 per un importo pari ad euro 275,00 iva inclusa al 10%</t>
  </si>
  <si>
    <t>inizio 18/05/2022, ultimazione 30/06/2022</t>
  </si>
  <si>
    <t>Affidamento diretto ex art. 36, comma 2, lett. a) del D. Lgs. 50/2016,   alla Casa Editrice Wolters Kluwer Italia Srl con sede a Milano in Via dei Missaglia n. 97 cap. 20142 per un importo pari ad euro 2.880,00 per la stampa e  Pubblicazione del volume  dal titolo La riforma Cartabia e rito penale della Professoressa Antonia Antonella Marandola.</t>
  </si>
  <si>
    <t>inizio 18/05/2022, ultimazione 31/05/2022</t>
  </si>
  <si>
    <t>servizi di analisi termografiche certificate e per indagini endoscopiche sullinvolucro edilizio del complesso universitario Polo didattico DEMM sito a Benevento in Via delle Puglie n. 82</t>
  </si>
  <si>
    <t>01676830621-BAXSA S.r.l.</t>
  </si>
  <si>
    <t>5600.0</t>
  </si>
  <si>
    <t>inizio 17/05/2022, ultimazione 27/05/2022</t>
  </si>
  <si>
    <t>articolo scientifico - oneri obbligatori di pubblicazione con affidamento diretto ex art. 36, comma 2, lett. a), del D. Lgs. 50/2016, per un importo pari a euro 2.028,00 oltre oneri intra UE su richiesta della professoressa Rosaria Sciarrillo afferente al Dipartimento di Scienze e Tecnologie</t>
  </si>
  <si>
    <t>2028.0</t>
  </si>
  <si>
    <t>inizio 12/05/2022, ultimazione 30/06/2022</t>
  </si>
  <si>
    <t>RAD143_articolo scientifico - oneri obbligatori di pubblicazione con affidamento diretto ex art. 36, comma 2, lett. a), del D. Lgs. 50/2016, per un importo pari a USD 2.950,00. oltre oneri intra UE su richiesta della professoressa Rosaria Sciarrillo afferente al Dipartimento di Scienze e Tecnologie</t>
  </si>
  <si>
    <t>Affidamento diretto, ai sensi dellart. 36, comma 2, lett. a), D. Lgs. 50/2016 e ss.mm.ii, del servizio grafica, stampa, scritturazione e personalizzazione dei Diplomi di Laurea, Esami di Stato e Dottorati di Ricerca.</t>
  </si>
  <si>
    <t>00826390627-TIPOGRAFIA CIARDIELLO DI CIARDIELLO &amp; LONARDO S.N.C.</t>
  </si>
  <si>
    <t>20550.0</t>
  </si>
  <si>
    <t>inizio 11/05/2022, ultimazione 11/05/2025</t>
  </si>
  <si>
    <t>1172.25</t>
  </si>
  <si>
    <t>RAD123_Affidamento diretto, ex art. 36, comma 2, lett.a), del D. Lgs. 50/2016, per un importo pari ad euro 1.945,00 IVA esclusa al 22%, per lacquisto di un Termoflussimetro ThermoZig BLE + software Ucalc per le esigenze del Dipartimento di Ingegneria nellambito del POR FSE 2014 - 2020, Obiettivo Specifico 14-Azione 10.4.5 Dottorati di Ricerca con caratterizzazione industriale, mediante Ordine Diretto di Acquisto  ODA sul Mercato Elettronico della Pubblica Amministrazione - MEPA</t>
  </si>
  <si>
    <t>02301600686-FATTICOM SRLS con sede in ITALIA - PESCARA (PE) VIA ARAPIETRA 110  65124 codice fiscale 02301600686</t>
  </si>
  <si>
    <t>1945.0</t>
  </si>
  <si>
    <t>inizio 11/05/2022, ultimazione 30/06/2022</t>
  </si>
  <si>
    <t>Affidamento diretto ex art. 36, comma 2, lett. a) del D. Lgs. 50/2016, alla Societ√† BIOGEM S.c.a.r.l., con sede a Ariano Irpino (AV), Via Camporeale  Area PIP  - Cap. 83031  P.IVA 02071230649, per un importo pari ad  26.000,00 oltre Iva, per lacquisto del servizio di Whole Exome SequencingWES per il laboratorio di Bioinformatica  del Dipartimento di Scienze e Tecnologie, relativo al progetto PRIN2017, di cui √® responsabile scientifico il  Prof. Michele Ceccarelli.</t>
  </si>
  <si>
    <t>02071230649-BIOGEM S.c.a.r.l.</t>
  </si>
  <si>
    <t>inizio 11/05/2022, ultimazione 11/05/2022</t>
  </si>
  <si>
    <t>RAD347_Affidamento diretto, ex art. 36, comma 2, lett.a), del D. Lgs. 50/2016, per un importo pari ad euro 995,16 IVA esclusa al 22%, per lacquisto di un DJI FPV Combo per le esigenze del Dipartimento di Ingegneria mediante Ordine diretto di Acquisto  ODA sul Mercato Elettronico della Pubblica Amministrazione - MEPA _Prof. Fistola</t>
  </si>
  <si>
    <t>13146011005-ELITE CONSULTING SRL</t>
  </si>
  <si>
    <t>995.16</t>
  </si>
  <si>
    <t>inizio 10/05/2022, ultimazione 30/06/2022</t>
  </si>
  <si>
    <t>RAD349_Affidamento diretto, ex art. 36, comma 2, lett.a), del D. Lgs. 50/2016, per un importo pari ad euro 3.170,00 IVA esclusa al 22%, per lacquisto di un HOLOLENS 2 visore di realt√† mista per le esigenze del Dipartimento di Ingegneria mediante Ordine diretto di Acquisto  ODA sul Mercato Elettronico della Pubblica Amministrazione - MEPA-Prof. Fistola</t>
  </si>
  <si>
    <t xml:space="preserve">05256310482-VAR GROUP SPA </t>
  </si>
  <si>
    <t>3170.0</t>
  </si>
  <si>
    <t>RAD348_Affidamento diretto, ex art. 36, comma 2, lett.a), del D. Lgs. 50/2016, per un importo pari ad euro 485,00 IVA esclusa al 22%, per lacquisto di un VT815 INSTA 360 ONE R - TWIN EDITION per le esigenze del Dipartimento di Ingegneria mediante Ordine diretto di Acquisto  ODA sul Mercato Elettronico della Pubblica Amministrazione - MEPA_Prof. Fistola</t>
  </si>
  <si>
    <t>485.0</t>
  </si>
  <si>
    <t>Affidamento diretto attraverso il MePA, come previsto dalla art.36 comma 2 lett. a) d.lgs. 50/2016 in favore dellArch. Amata Verdino., avente sede legale ITALIA - SAN LEUCIO DEL SANNIO(BN) via Maccabei, 29 - 82010 C.F.: VRDMTA64D51H953B P.IVA  00912980620 per servizi attinenti all'architettura e all'ingegneria: Progettazione e direzione dei lavori di Adeguamento alle norme antincendio dellimmobile denominato S. Agostino. via G. De Nicastro.</t>
  </si>
  <si>
    <t>VRDMTA64D51H953B-Studio di Architettura Amata Verdino</t>
  </si>
  <si>
    <t>inizio 09/05/2022, ultimazione 28/02/2023</t>
  </si>
  <si>
    <t>Affidamento diretto per pubblicazione articolo su rivista specializzata_Gruppo Automatica</t>
  </si>
  <si>
    <t>2164.11</t>
  </si>
  <si>
    <t>inizio 09/05/2022, ultimazione 09/05/2022</t>
  </si>
  <si>
    <t xml:space="preserve">Affidamento diretto attraverso il MePA, come previsto dalla art.36 comma 2 lett. a) d.lgs. 50/2016 in favore della Societ√† a Responsabilit√† Limitata ATON IMMAGINE E COMUNICAZIONE con sede legale in Roma, Via del Fosso di Fioranello- 82030 partita IVA 07988800582 per servizi di supporto alle azioni di orientamento e comunicazione e alla progettazione di pannelli grafici per le attivit√† innanzi indicate.  </t>
  </si>
  <si>
    <t>33540.0</t>
  </si>
  <si>
    <t>inizio 09/05/2022, ultimazione 12/01/2023</t>
  </si>
  <si>
    <t>affidamento diretto materiale informatico Lenovo Legion 5_ Ordien MEPA prof. Del Vecchio</t>
  </si>
  <si>
    <t>01486330309-DPS INFORMATICA SNC DI PRESELLO GIANNI &amp; C.</t>
  </si>
  <si>
    <t>1777.64</t>
  </si>
  <si>
    <t>inizio 09/05/2022, ultimazione 31/05/2022</t>
  </si>
  <si>
    <t xml:space="preserve">Affidamento diretto per dispositivo piano inclinato_ prof.ssa Monaco </t>
  </si>
  <si>
    <t>800.0</t>
  </si>
  <si>
    <t>inizio 09/05/2022, ultimazione 30/06/2022</t>
  </si>
  <si>
    <t>Affidamento incarico professionale di per la redazione degli atti tecnico amministrativi riferiti alla perizia suppletiva per i lavori di riqualificazione di immobili Bonus Facciate ed Ecobonus Lotto II - Complesso Immobiliare denominato EX POSTE DI VIA TRAIANO - Arch. De Vito Giuseppina</t>
  </si>
  <si>
    <t>DVTGPP68P42F491U-DE VITO GIUSEPPINA</t>
  </si>
  <si>
    <t>2884.55</t>
  </si>
  <si>
    <t>inizio 06/05/2022, ultimazione 28/09/2022</t>
  </si>
  <si>
    <t>Affidamento diretto pubblicazione articolo scientifico Gruppo Ricerca GRACE</t>
  </si>
  <si>
    <t>1751.0</t>
  </si>
  <si>
    <t>inizio 05/05/2022, ultimazione 30/06/2022</t>
  </si>
  <si>
    <t>Affidamento diretto attraverso il MePA, come previsto dalla art.36 comma 2 lett. a) d.lgs. 50/2016 in favore della Societ√† a Responsabilit√† Limitata GLOBAL SECURITY BORRELLI SRL - Partita IVA: 01646560621 per lammodernamento dellinfrastruttura tecnologica per incrementare la disponibilit√† di postazioni per gli studenti dei laboratori didattici di Ateneo.</t>
  </si>
  <si>
    <t>13300.0</t>
  </si>
  <si>
    <t>inizio 04/05/2022, ultimazione 14/06/2022</t>
  </si>
  <si>
    <t>13299.99</t>
  </si>
  <si>
    <t>Servizi pubblicitari per promuovere l'Offerta Formativa a.a.2022/2023 dell'Universit√† degli Studi del Sannio su mezzi di comunicazione di massa</t>
  </si>
  <si>
    <t>08526500155-PIEMME Spa Concessionaria di pubblicit√†</t>
  </si>
  <si>
    <t>12196.0</t>
  </si>
  <si>
    <t>inizio 03/05/2022, ultimazione 31/08/2022</t>
  </si>
  <si>
    <t>Corso di Formazione "Il Collegio Consultivo Tecnico alla luce delle Linee Guida MIMS", organizzato dal Paradigma Srl</t>
  </si>
  <si>
    <t>06222110014-PARADIGMA S.P.A.</t>
  </si>
  <si>
    <t>700.0</t>
  </si>
  <si>
    <t>inizio 03/05/2022, ultimazione 03/05/2022</t>
  </si>
  <si>
    <t>RAD114 Affidamento diretto materiale informatico ordine MEPA_prof.ssa Frosina</t>
  </si>
  <si>
    <t>PNRGNN63P67B111F-MEMOGRAPH DI PANERO GIOVANNA</t>
  </si>
  <si>
    <t>953.0</t>
  </si>
  <si>
    <t>inizio 02/05/2022, ultimazione 30/05/2022</t>
  </si>
  <si>
    <t>RAD118_Affidamento diretto, ex art. 36, comma 2, lett.a), del D. Lgs. 50/2016, per lacquisizione di un servizio avente ad oggetto consulenza per una relazione sulla ricostruzione stratigrafica di Matera e Metaponto, mediante Ordine di Acquisto, nellambito del Progetto "GEO-ARCHEO-Metodologie, strumenti e servizi innovativi per lo sviluppo del patrimonio culturale dei Geo-Archeo-Siti"</t>
  </si>
  <si>
    <t>04073180616-Solgeotek s.r.l., con sede in Santa Maria Capua Vetere (Ce), alla Via Martucci, 17  81055 Codice Fiscale 04073180616</t>
  </si>
  <si>
    <t>6046.0</t>
  </si>
  <si>
    <t>inizio 02/05/2022, ultimazione 30/06/2022</t>
  </si>
  <si>
    <t>Servizio di pernottamento e di prima colazione in data 12 maggio 2022 per n. 6 ospiti del Convegno dal titolo "Il ruolo del giurista tra accademia e societ√†" che si svolger√† presso UNISANNIO il 13 maggio 2022</t>
  </si>
  <si>
    <t>572.73</t>
  </si>
  <si>
    <t>inizio 02/05/2022, ultimazione 12/05/2022</t>
  </si>
  <si>
    <t>Simulatore di elettrocardiogramma a 12 lead e onda di respirazione a 2 lead RIGEL medical PatSim200_DE VITO_ATTICUS_DING</t>
  </si>
  <si>
    <t xml:space="preserve">10794580158-GIAKOVA SRL </t>
  </si>
  <si>
    <t>1512.0</t>
  </si>
  <si>
    <t>inizio 30/04/2022, ultimazione 31/08/2022</t>
  </si>
  <si>
    <t>Affidamento diretto ex art. 36, comma 2, lett. a) del D. Lgs. 50/2016, alla Societ√† LEVANCHIMICA S.r.l., con sede a Bari (BA), Viale T. Columbo, 41 - Cap.70132   C.F./P.IVA 03587930722, per l'acquisto di attrezzatura tecnico-scientifica  per il Laboratorio LAB 50- Sistemi integrati di Biologia Animale e Vegetale  del  Dipartimento di Scienze e Tecnologie, relativo al progetto GEO-ARCHEO- Metodologie, strumenti e servizi innovativi per lo sviluppo del patrimonio culturale dei Geo-Archeo-Siti di cui √® responsabile scientifico la Prof.ssa Roberta Imperatore.</t>
  </si>
  <si>
    <t>7892.16</t>
  </si>
  <si>
    <t>inizio 28/04/2022, ultimazione 02/05/2022</t>
  </si>
  <si>
    <t>7682.9</t>
  </si>
  <si>
    <t>Affidamento diretto ex art. 36, comma 2, lett. a) del D. Lgs. 50/2016, alla Societ√† EPPENDORF S.r.l., con sede a Milano (MI), Via Zante ,14  - Cap. 20138  P.IVA 10767630154 , per l'acquisto di materiale di consumo per per il Lab- 27/29 del Dipartimento di Scienze e Tecnologie, relativo al progetto GEO-ARCHEO-Metodologie, strumenti e servizi innovativi per lo sviluppo del patrimonio culturale dei Geo-Archeo-Siti, di cui √® responsabile scientifico la Prof.ssa Roberta Imperatore</t>
  </si>
  <si>
    <t>1269.18</t>
  </si>
  <si>
    <t>inizio 23/04/2022, ultimazione 03/05/2022</t>
  </si>
  <si>
    <t>922.0</t>
  </si>
  <si>
    <t>RAD109_articolo scientifico - oneri obbligatori di pubblicazione con affidamento diretto ex art. 36, comma 2, lett. a), del D. Lgs. 50/2016, per un importo pari a euro 811,54 oltre oneri intra UE su richiesta della professoressa Rosaria Sciarrillo afferente al Dipartimento di Scienze e Tecnologie</t>
  </si>
  <si>
    <t>811.54</t>
  </si>
  <si>
    <t>inizio 22/04/2022, ultimazione 30/04/2022</t>
  </si>
  <si>
    <t>RAD84_Affidamento diretto, ex art. 36, comma 2, lett.a), del D. Lgs. 50/2016, per un importo pari ad USD 1,177.11 oneri extraUE esclusi, per lacquisto materiale per il laboratorio optoelettronica del Dipartimento di Ingegneria nellambito del progetto NeON - Nanofotonica per nuovi approcci diagnostici e terapEutici in Oncologia e Neurologia</t>
  </si>
  <si>
    <t>00000000000-Multi3D</t>
  </si>
  <si>
    <t>1177.11</t>
  </si>
  <si>
    <t>inizio 21/04/2022, ultimazione 30/05/2022</t>
  </si>
  <si>
    <t>RAD350_AFffidamento diretto DJI Mini2 combo prof. Fistola</t>
  </si>
  <si>
    <t>05256310482-MICROGEO SRL</t>
  </si>
  <si>
    <t>2190.0</t>
  </si>
  <si>
    <t>inizio 20/04/2022, ultimazione 20/05/2022</t>
  </si>
  <si>
    <t>Affidamento diretto del servizio di E-voting mediante l'utilizzo del software ELIGO per le esigenze relative al rinnovo dei rappresentanti degli studenti negli Organi Collegiali</t>
  </si>
  <si>
    <t>11240660156-ID TECHNOLOGY SRL</t>
  </si>
  <si>
    <t>9600.0</t>
  </si>
  <si>
    <t>inizio 14/04/2022, ultimazione 15/07/2022</t>
  </si>
  <si>
    <t>Accordo di cooperazione tra lUniversit√† degli Studi del Sannio  Dipartimento di Ingegneria e la University of Stuttgart, prot. n.1538 del 28.10.2019, in esecuzione del Decreto Rettorale n.766 del 01.08.2019_. liquidazione fatture n. DL-210-2-20, DL-039-2-21, DL-079-2-21, DL-143-2-21, DL-173-2-21, DL-316-21, DL-342-21 emesse dal TechnologieLizenz-Bro (TLB) GmbH in merito allo studio per la stesura del PCT effettuato nel periodo luglio 2020 novembre 2021</t>
  </si>
  <si>
    <t>196964696-TLB Techonologie Lizenz Buro</t>
  </si>
  <si>
    <t>2967.66</t>
  </si>
  <si>
    <t>inizio 14/04/2022, ultimazione 30/04/2022</t>
  </si>
  <si>
    <t>Servizio di grafica e stampa  per  OPEN DAY 2022.  Affidamento ai sensi dell' articolo 36, comma 2, lettera a),  del D.Lgs. 50/2016 e s.m.i. a favore delloperatore economico B.F.T. di Giovanni Teta Piazza Luigi Sodo n.8, 82032 - CERRETO SANNITA (BN), P.I. 01100510625</t>
  </si>
  <si>
    <t>2580.0</t>
  </si>
  <si>
    <t>inizio 13/04/2022, ultimazione 15/04/2022</t>
  </si>
  <si>
    <t>Affidamento diretto, ai sensi dell'art. 36, comma 2, lett. a), D. Legislativo 50/2016 e ss.mm.ii, del servizio di gestione concorsi mediante l'utilizzo in SaaS della piattaforma SELECO per le esigenze relative ai concorsi indetti dall'Ateneo, per la durata di 36 mesi. I.B.S. Informatica Basilicata Sistemi Srl</t>
  </si>
  <si>
    <t>32700.0</t>
  </si>
  <si>
    <t>inizio 12/04/2022, ultimazione 12/04/2025</t>
  </si>
  <si>
    <t xml:space="preserve">Servizio di stampa in grande di formato e speciali e accessori per la stampa.  Affidamento ai sensi dellarticolo 36, comma 2, lettera a),  del D.Lgs. 50/2016 e s.m.i. a favore delloperatore economico FPG S.R.L. - P.IVA: 13738321002- Via del Pomerio,  83042 Benevento </t>
  </si>
  <si>
    <t>inizio 12/04/2022, ultimazione 21/10/2022</t>
  </si>
  <si>
    <t>RAD108_Affidamento diretto servizio di ristorazione per convegno" Il ruolo delle Comunit√† Energetiche nella transizione ecologica" prof. Sasso</t>
  </si>
  <si>
    <t>inizio 12/04/2022</t>
  </si>
  <si>
    <t xml:space="preserve">Affidamento diretto ex art. 36, comma 2, lett. a) del D. Lgs. 50/2016, mediante ordine diretto sulla Piattaforma del Mercato Elettronico della Pubblica Amministrazione  - MEPA, per l'acquisto di attrezzatura tecnico-scientifica e materiale di consumo per i Laboratori di Geologia Applicata e di Ecologia del Dipartimento di Scienze e Tecnologie. </t>
  </si>
  <si>
    <t>01022690364-EXACTA+OPTECH LABCENTER Spa</t>
  </si>
  <si>
    <t>3350.0</t>
  </si>
  <si>
    <t>inizio 12/04/2022, ultimazione 05/07/2022</t>
  </si>
  <si>
    <t>Accordo di cooperazione tra lUniversit√† degli Studi del Sannio  Dipartimento di Ingegneria e la University of Stuttgart, prot. n.1538 del 28.10.2019, in esecuzione del Decreto Rettorale n.766 del 01.08.2019_. liquidazione fatture n n.M938699, M942358, M949918CN, M951728emesse dallo studio Meissener-Bolte (Widenmayerstrae 47, 80538 Mnchen, Germania) per il deposito del PCT.</t>
  </si>
  <si>
    <t xml:space="preserve">00000000000-Meissener-Bolte (Widenmayerstrae 47, 80538 Mnchen, Germania) </t>
  </si>
  <si>
    <t>1631.8</t>
  </si>
  <si>
    <t>inizio 11/04/2022, ultimazione 30/04/2022</t>
  </si>
  <si>
    <t>1631.88</t>
  </si>
  <si>
    <t>RAD103 affidamento diretto per acquisto un pireliometro digitale laboratorio fisica tecnica.</t>
  </si>
  <si>
    <t>8200.0</t>
  </si>
  <si>
    <t>Servizio di manutenzione per le automobili del?universit√† degli Studi del Sannio</t>
  </si>
  <si>
    <t>1315.17</t>
  </si>
  <si>
    <t>inizio 08/04/2022, ultimazione 24/05/2022</t>
  </si>
  <si>
    <t>12785290151-Agilent Technologies Italia S.p.A</t>
  </si>
  <si>
    <t>693.4</t>
  </si>
  <si>
    <t>inizio 08/04/2022, ultimazione 02/05/2022</t>
  </si>
  <si>
    <t>Acquisto sul MEPA  attrezzature tecnico-scientifiche per il laboratorio di Mineralogia e Petrografia del Dipartimento di Scienze e Tecnologie, relativo al Progetto"774 lande" , di cui √® responsabile scientifico il  Prof. Mariano Mercurio.</t>
  </si>
  <si>
    <t>10765880157-Distrelec  Italia  s.r.l</t>
  </si>
  <si>
    <t>1966.0</t>
  </si>
  <si>
    <t>inizio 08/04/2022, ultimazione 08/04/2022</t>
  </si>
  <si>
    <t>Affidamento diretto per pubblicazione articolo su rivista scientifica_ prof Mancini</t>
  </si>
  <si>
    <t>1850.0</t>
  </si>
  <si>
    <t>inizio 06/04/2022, ultimazione 30/04/2022</t>
  </si>
  <si>
    <t>Affidamento diretto ex art. 36, comma 2, lett. a) del D. Lgs. 50/2016, alla Societ√† TEMA RICERCA S.r.l., con sede a Castenaso (BO), Via XXI Ottobre 1944,11/2 - Cap.40055 - P.IVA 00674091202 e C.F.03898780378, per l'acquisto di materiale di consumo per il Lab- 27/29 del Dipartimento di Scienze e Tecnologie, nellambito del Progetto "Viticoltura di precisione per produzioni sostenibili di qualit√† con caratteristiche funzionali (VERITAS), ammesso a finanziamento MIUR con Decreto Direttoriale del 20 aprile 2020 n. 6465 nellambito dellAVVISO PER LA PRESENTAZIONE DI PROGETTI DI RICERCA INDUSTRIALE E SVILUPPO SPERIMENTALE NELLE 12 AREE DI SPECIALIZZAZIONE INDIVIDUATE DAL PNR20152020 (D. D. 13 LUGLIO 2017 N. 1735) - Area di Specializzazione: Agrifood,di cui √® responsabile scientifico il Prof. Carmine Guarino.</t>
  </si>
  <si>
    <t>03898780378-TEMA RICERCA SRL</t>
  </si>
  <si>
    <t>3712.8</t>
  </si>
  <si>
    <t>inizio 06/04/2022, ultimazione 19/05/2022</t>
  </si>
  <si>
    <t>Redazione, impaginazione, correzione del volume: Trasferimento di funzioni secondo il principio di differenziazione. Attuando lart. 116 c. 3 Cost.</t>
  </si>
  <si>
    <t>819.67</t>
  </si>
  <si>
    <t>inizio 05/04/2022, ultimazione 02/05/2022</t>
  </si>
  <si>
    <t>Acquisti materiale di consumo per laboratori del DST - Accordo Quadro Sarstedt Srl - Prof. Francesco Paolo Mancini</t>
  </si>
  <si>
    <t>226.25</t>
  </si>
  <si>
    <t>inizio 04/04/2022, ultimazione 11/07/2022</t>
  </si>
  <si>
    <t xml:space="preserve">Affidamento diretto ai sensi dellart. 36 comma 2, lett. a) D.lgs. 50/2016 in favore delloperatore economico denominato STUDIO TORTA S.p.A. avente sede legale in Via Viotti n. 9 cap 910121 TORINO - P.IVA 06589950010, per lespletamento di un servizio di Preparazione e deposito in Italia di una domanda di brevetto per invenzione industriale avente ad oggetto  Environmental Lights Measurement System  ELMS (Sistema di Misurazione della Luce Ambientale)   </t>
  </si>
  <si>
    <t>06589950010-STUDIO TORTA</t>
  </si>
  <si>
    <t>inizio 04/04/2022</t>
  </si>
  <si>
    <t xml:space="preserve">Adesione Convenzione Consip Gas Naturale 13  lotto 9 - Fornitura di gas naturale per le esigenze dell'Universit√† degli Studi del Sannio </t>
  </si>
  <si>
    <t>122950.82</t>
  </si>
  <si>
    <t>inizio 01/04/2022, ultimazione 31/03/2023</t>
  </si>
  <si>
    <t>Visita didattica 12 aprile 2022 per le classi di Modellazione di Problemi Geotecnici (LM Civile), Fondazioni e Opere di Sostegno (L Civile) e Indagini e Caratterizzazione Geotecnica(L Civile), anno accademico 21/22, presso il cantiere Anas Fortorina in San Marco dei Cavoti-Pesco Sannita.</t>
  </si>
  <si>
    <t>315.0</t>
  </si>
  <si>
    <t>inizio 01/04/2022, ultimazione 30/04/2022</t>
  </si>
  <si>
    <t>RAD71_N. 5 licenze software EDIFICIUS prof. Fistola</t>
  </si>
  <si>
    <t>3124.0</t>
  </si>
  <si>
    <t>Acquisto del software PROFIS Sistemi Soluzioni Gestionali e Servizi Fiscali - Modulo 730/2022 e dei relativi servizi</t>
  </si>
  <si>
    <t>380.0</t>
  </si>
  <si>
    <t>Ordine di Acquisto in adesione di Accordo Quadro di durata 36 mesi, della fornitura, distinta in tre lotti, di Cancelleria (lotto I) - Numero RDO 2567313 - D.D. N. 530/2020 Prot. n. 0013119 del 24/07/2020</t>
  </si>
  <si>
    <t>205.0</t>
  </si>
  <si>
    <t>inizio 01/04/2022, ultimazione 22/04/2022</t>
  </si>
  <si>
    <t>202.18</t>
  </si>
  <si>
    <t>Indagini strutturali propedeudiche ai Lavori di riqualificazione con efficientamento energetico di livello NZEB delledificio sede del DEMM di Via delle Puglie in Benevento.</t>
  </si>
  <si>
    <t>02889100653-P.L.P. PROSPEZIONI LABORATORIO PROVE S.R.L.</t>
  </si>
  <si>
    <t>5200.0</t>
  </si>
  <si>
    <t>inizio 30/03/2022, ultimazione 26/04/2022</t>
  </si>
  <si>
    <t>Servizio di audit per il Progetto EIT HEI Initiative Innovation Capacity Building for Higher Education, per la durata di 2 anni (2022-2023).</t>
  </si>
  <si>
    <t>00709600159-KPMG Spa</t>
  </si>
  <si>
    <t>inizio 30/03/2022, ultimazione 31/12/2023</t>
  </si>
  <si>
    <t>Servizio di lavaggio delle custodie delle toghe dell'Universit√† degli Studi del Sannio. Affidamento ai sensi dellarticolo 36, comma 2, lettera a),  del D.Lgs. 50/2016 e s.m.i. alla dalla Societ√† in nome collettivo Lavanderia La Modernissima di Morcone Mario s.n.c.", C. F. e P. IVA 02393380643</t>
  </si>
  <si>
    <t>224.0</t>
  </si>
  <si>
    <t>inizio 30/03/2022, ultimazione 14/11/2022</t>
  </si>
  <si>
    <t>Affidamento diretto ex art. 36, comma 2, lett. a) del D. Lgs. 50/2016,   alla Casa Editrice Dott. Eugenio Jovene S.r.l. con sede a Napoli in Via  Mezzocannone n. 109 cap. 80134i per la pubblicazione del volume  dal titolo La ricchezza femminile e la Lex Voconia  della Prof.ssa Aglaia McClintock</t>
  </si>
  <si>
    <t>00298660630-CASA EDITRICE DOTT. EUGENIO JOVENE S.R.L.</t>
  </si>
  <si>
    <t>1900.0</t>
  </si>
  <si>
    <t>inizio 29/03/2022, ultimazione 12/04/2022</t>
  </si>
  <si>
    <t>Affidamento diretto, per lacquisizione di servizi alberghieri per i relatori del convegno Il ruolo delle Comunit√† Energetiche nella transizione ecologica mediante ricorso alla Convenzione di Ateneo</t>
  </si>
  <si>
    <t>520.0</t>
  </si>
  <si>
    <t>inizio 29/03/2022, ultimazione 06/04/2022</t>
  </si>
  <si>
    <t>RAD82_ schede di prototipazione e componenti per laboratorio LESIM</t>
  </si>
  <si>
    <t>1050.91</t>
  </si>
  <si>
    <t>inizio 28/03/2022, ultimazione 30/04/2022</t>
  </si>
  <si>
    <t>RAD 95_Affidamento diretto pubblicazione articolo scientifico prof.ssa Cioffi</t>
  </si>
  <si>
    <t>1352.57</t>
  </si>
  <si>
    <t>inizio 28/03/2022, ultimazione 31/03/2022</t>
  </si>
  <si>
    <t>Affidamento diretto per pubblicazione articolo scientifico su rivista specializzata_prof. Vincenzo Galdi</t>
  </si>
  <si>
    <t>inizio 25/03/2022, ultimazione 31/03/2022</t>
  </si>
  <si>
    <t xml:space="preserve">Affidamento diretto ex art. 36, comma 2, lett. a) del D. Lgs. 50/2016, alla Societ√† LGC STANDARDS S.r.l., con sede a Milano (MI), Via Tintoretto, 5 - Cap.20145 - P.IVA 03948960962 e C.F.97346290154,per l'acquisto di materiale di consumo per il Lab- 27/29 del Dipartimento di Scienze e Tecnologie, relativo al progetto Veritas-Viticoltura di precisione per produzioni sostenibili di qualit√† con caratteristiche funzionali, di cui √® responsabile scientifico il Prof. Carmine Guarino.  </t>
  </si>
  <si>
    <t>97346290154-LGC Standards S.r.l.</t>
  </si>
  <si>
    <t>1378.0</t>
  </si>
  <si>
    <t>inizio 24/03/2022, ultimazione 20/04/2022</t>
  </si>
  <si>
    <t>Affidamento incarico professionale di Direzione dei lavori, contabilit√† e Consuntivo Scientifico per i lavori di riqualificazione di immobili Bonus Facciate ed Ecobonus Lotto II - Complesso Immobiliare denominato EX POSTE DI VIA TRAIANO - Arch. De Vito Giuseppina</t>
  </si>
  <si>
    <t>11402.37</t>
  </si>
  <si>
    <t>inizio 24/03/2022, ultimazione 28/09/2022</t>
  </si>
  <si>
    <t>Affidamento diretto ex art. 36, comma 2, lett. a) del D. Lgs. 50/2016, alla Societ√† CONSUL S.r.l., con sede a Napoli (Na), Via Posillipo, n.316 - Cap. 80123  P.IVA 06768650639, per l'acquisto di materiale di consumo per il Laboratorio di Biologia Animale, Genetica e Risorse Alimentari presso il Dipartimento di Scienze e Tecnologie, relativo al progetto DOTTPORXXXIV-Budget 40%-Dottorati Innovativi a caratterizzazione industriale - Maria Chiara DI MEO , di cui √® responsabile scientifico il Prof. Ettore Varricchio.</t>
  </si>
  <si>
    <t>2049.0</t>
  </si>
  <si>
    <t>inizio 24/03/2022, ultimazione 27/04/2022</t>
  </si>
  <si>
    <t>Affidamento diretto ex art. 36, comma 2, lett. a) del D. Lgs. 50/2016,   alla Casa Editrice G. Giappichelli Editore srl con sede in Via Po 21  10124 Torino,  per la stampa e pubblicazione del volume  dal titolo LA DIRIGENZA DEGLI ENTI LOCALI ALLA PROVA DELLA CONTRATTAZIONE COLLETTIVA  dei professori Mario Cerbone e Rosario Santucci</t>
  </si>
  <si>
    <t>3520.0</t>
  </si>
  <si>
    <t>inizio 24/03/2022, ultimazione 24/04/2022</t>
  </si>
  <si>
    <t>Affidamento diretto ex art. 36, comma 2, lett. a) del D. Lgs. 50/2016, alla BRUKER ITALIA S.r.l. con sede a Milano(MI), Viale V. Lancetti, 43 - Cap. 20158  P.IVA./C.F. 02143930150, per l'acquisto di materiale di consumo per il Laboratorio di Mineralogia e Petrografia presso il Dipartimento di Scienze e Tecnologie, che graver√† sui fondi del progetto Analisi GEO- Gruppo Langella , di cui √® titolare  il Prof. Mariano Mercurio</t>
  </si>
  <si>
    <t>02143930150-Bruker Italia S.r.l. Unipersonale</t>
  </si>
  <si>
    <t>2003.0</t>
  </si>
  <si>
    <t>inizio 23/03/2022, ultimazione 02/05/2022</t>
  </si>
  <si>
    <t>Affidamento diretto pubblicazione articolo scientifico prof.ssa Elena Silvestri</t>
  </si>
  <si>
    <t>1930.0</t>
  </si>
  <si>
    <t>inizio 23/03/2022, ultimazione 31/03/2022</t>
  </si>
  <si>
    <t>Affidamento diretto materiale antinfortunistico per attivit√† scuola lavoro PCTO organizzato dal DING</t>
  </si>
  <si>
    <t>07062360636-SILCAM ITALIA SRL</t>
  </si>
  <si>
    <t>1153.5</t>
  </si>
  <si>
    <t>inizio 21/03/2022, ultimazione 06/04/2022</t>
  </si>
  <si>
    <t xml:space="preserve">Determina di affidamento diretto di Attrezzature Informatiche, tramite Accordo Quadro stipulato dallAteneo, ad esito di R.D.O. sul M.E.P.A. (Decreto Direttoriale del 25 febbraio 2021, n. 229), con il fornitore AM Informatica di Monaco Armando, per esigenze di ricerca e didattica presso il Dipartimento di Diritto, Economia, Management e Metodi, ai sensi dell'art. 36, co 2, lett. a) del D.Lgs. 50/2016 </t>
  </si>
  <si>
    <t>3183.47</t>
  </si>
  <si>
    <t>inizio 21/03/2022, ultimazione 15/04/2022</t>
  </si>
  <si>
    <t>Affidamento diretto ex art. 36, comma 2, lett. a) del D. Lgs. 50/2016, mediante ordine diretto sulla Piattaforma del Mercato Elettronico della Pubblica Amministrazione  - MEPA, per l'acquisto di attrezzatura tecnico-scientifica del Laboratorio di Geologia Applicata del Dipartimento di Scienze e Tecnologie, che graver√† sui fondi del progetto Convenzione- Montaguto Regione Campania, di cui √® titolare  il Prof. Francesco M. Guadagno</t>
  </si>
  <si>
    <t>240.0</t>
  </si>
  <si>
    <t>inizio 17/03/2022, ultimazione 01/04/2022</t>
  </si>
  <si>
    <t>Affidamento diretto ex art. 36, comma 2, lett. a) del D. Lgs. 50/2016,   alla Casa Editrice Edizioni Scientifiche Italiane con sede a Napoli in Via  Chiatamone n. 7 cap. 80121 per un importo pari ad euro 3.560,00 ( Iva al 4%, assolta dallEditore)  per la pubblicazione del volume  dal titolo Societ√† di persone in liquidazione e attivit√† di impresa  del Prof. Manuel Franchi</t>
  </si>
  <si>
    <t>3560.0</t>
  </si>
  <si>
    <t>inizio 17/03/2022, ultimazione 15/04/2022</t>
  </si>
  <si>
    <t>Affidamento diretto ex art. 36, comma 2, lett. a) del D. Lgs. 50/2016, alla AREACHEM  S.r.l. con sede a Melito di Napoli(NA), Via Campania,9 - Cap. 80017  P.IVA./C.F. 05416341211, per per l'acquisto di materiale di consumo per il Laboratorio di Mineralogia e Petrografia presso il Dipartimento di Scienze e Tecnologie, che graver√† sui fondi del progetto Analisi GEO- Gruppo Langella , di cui √® titolare  il Prof. Mariano Mercurio.</t>
  </si>
  <si>
    <t>05416341211-AREACHEM S.R.L.</t>
  </si>
  <si>
    <t>894.34</t>
  </si>
  <si>
    <t>inizio 17/03/2022, ultimazione 12/05/2022</t>
  </si>
  <si>
    <t>Affidamento diretto ex art. 36, comma 2, lett. a) del D. Lgs. 50/2016, alla Societ√† ASSING S.p.A., con sede a Monterotondo (RM), Via E. Amaldi, 14  - Cap. 00015  P.IVA 01603091008,  dell'acquisto di attrezzature tecnico-scientifiche, per il laboratorio di Mineralogia e Petrografia  del Dipartimento di Scienze e Tecnologie, la cui spesa graver√† sul fondo relativo al progetto Analisi petrografiche per la caratterizzazione e conservazione del patrimonio culturale ,di cui √® responsabile scientifico il Prof. Celestino Grifa</t>
  </si>
  <si>
    <t>1255.45</t>
  </si>
  <si>
    <t>inizio 17/03/2022, ultimazione 28/04/2022</t>
  </si>
  <si>
    <t>Affidamento diretto in adeszione AQ NOTEBOOK DELL prof. Continillo</t>
  </si>
  <si>
    <t>1939.88</t>
  </si>
  <si>
    <t>inizio 15/03/2022, ultimazione 30/06/2022</t>
  </si>
  <si>
    <t xml:space="preserve">affidamento diretto in adesione AQ notebook latitude 9420 prof. Glielmo </t>
  </si>
  <si>
    <t>2988.06</t>
  </si>
  <si>
    <t xml:space="preserve">Affidamento diretto in adesione AQ stampante laserjet 40% ACERNESE </t>
  </si>
  <si>
    <t>460.36</t>
  </si>
  <si>
    <t>inizio 15/03/2022, ultimazione 30/06/2023</t>
  </si>
  <si>
    <t>Affidamento diretto in adesione AQ N. 2 NOTEBOOK DELL XPS Prof. Fistola</t>
  </si>
  <si>
    <t>4670.58</t>
  </si>
  <si>
    <t>Affidamento diretto in adesione AQ N. 3 MONITOR DELL + BATTERIA DELL XPS 15 PROF. DE VITO</t>
  </si>
  <si>
    <t>674.36</t>
  </si>
  <si>
    <t>Affidamento diretto in adesione ad AQ NOTEBOOK APPLE prof. VACCARO</t>
  </si>
  <si>
    <t>2101.72</t>
  </si>
  <si>
    <t>Affidamento servizio di trasloco e facchinaggio da effettuarsi per il trasferimento nei nuovi edifici di via dei Mulini e per il trasferimento di alcuni uffici dell Amministrazione Centrale</t>
  </si>
  <si>
    <t>15150.0</t>
  </si>
  <si>
    <t>inizio 14/03/2022, ultimazione 20/05/2022</t>
  </si>
  <si>
    <t>Polizza R.C. Professionisti e R.C. Professionisti asseverazione della congruit√† delle spese relativamente allEcobonus e al Bonus facciate  Compagnia Italiana Assicurazioni</t>
  </si>
  <si>
    <t>1221.0</t>
  </si>
  <si>
    <t>inizio 11/03/2022, ultimazione 11/03/2023</t>
  </si>
  <si>
    <t>Determina di affidamento diretto di Materiale Informatico Vario, tramite Accordo Quadro stipulato dallAteneo, ad esito di R.D.O. sul M.E.P.A. (Decreto Direttoriale del 02 marzo 2021, n. 239), con il fornitore Mods Art S.r.l.,, per esigenze di ricerca e didattica del Dipartimento di Scienze e Tecnologie-DST, ai sensi dell'art. 36, co 2, lett. a) del D.Lgs. 50/2016</t>
  </si>
  <si>
    <t>986.4</t>
  </si>
  <si>
    <t>inizio 09/03/2022, ultimazione 31/03/2022</t>
  </si>
  <si>
    <t>Acquisto materiale di cons.- Locandine divulgative percorso/guida attivit√† orientamento PLS 2017  2018 - Prof.ssa Paola Mancini</t>
  </si>
  <si>
    <t xml:space="preserve">01610760629-IMPRESSIVE </t>
  </si>
  <si>
    <t>inizio 08/03/2022, ultimazione 31/03/2022</t>
  </si>
  <si>
    <t xml:space="preserve">Determina di affidamento diretto di Materiale di carta A4 e A3, tramite Accordo Quadro stipulato dallAteneo, ad esito di R.D.O. sul M.E.P.A. (Decreto Direttoriale del 26 ottobre 2020, prot. n. 1685), con il fornitore Alex Office &amp; Business Srl, per esigenze di  didattica del Dipartimento di Scienze e Tecnologie-DST, ai sensi dell'art. 36, co 2, lett. a) del D.Lgs. 50/2016 </t>
  </si>
  <si>
    <t>871.5</t>
  </si>
  <si>
    <t>Determina di affidamento diretto di Materiale di cancelleria, tramite Accordo Quadro stipulato dallAteneo, ad esito di R.D.O. sul M.E.P.A. (Decreto Direttoriale del 26 ottobre 2020, prot. n. 1685), con il fornitore Errebian Srl , per esigenze di  didattica del Dipartimento di Scienze e Tecnologie-DST, ai sensi dell'art. 36, co 2, lett. a) del D.Lgs. 50/2016 di  787,19 oltre IVA.</t>
  </si>
  <si>
    <t>787.19</t>
  </si>
  <si>
    <t>inizio 05/03/2022, ultimazione 01/04/2022</t>
  </si>
  <si>
    <t xml:space="preserve">Affidamento del Servizio di trasporto/navetta per i giorni 4, 10, 16, 18, 23, 24, 29 , 30 marzo 2022 e 7 aprile 2022  2021  PCTO 2022  Percorsi per le Competenze Trasversali e lOrientamento  -  Affidamento ai sensi dellarticolo 36, comma 2, lettera a),  del D.Lgs. 50/2016 e s.m.i. a favore delloperatore economico  Umberto Bartolini &amp; C S.n.C. -  P.IVA 00105540645,  avente sede legale in Avellino cap 83100 alla via Baccanico n. 43. </t>
  </si>
  <si>
    <t>00105540645-U. Bartolini &amp; C. SNC</t>
  </si>
  <si>
    <t>4950.0</t>
  </si>
  <si>
    <t>inizio 04/03/2022, ultimazione 07/04/2022</t>
  </si>
  <si>
    <t>Affidamento diretto, ai sensi dellart. 36, comma 2, lett. a), D. Legislativo 50/2016 e ss.mm.ii, della fornitura di materiale informativo, comprensivo del servizio di stampa e grafica, per le esigenze relative all'evento di Orientamento Open Day del 22 marzo 2022</t>
  </si>
  <si>
    <t>10030120967-GED GROUP SRL</t>
  </si>
  <si>
    <t>6015.0</t>
  </si>
  <si>
    <t>inizio 04/03/2022, ultimazione 22/03/2022</t>
  </si>
  <si>
    <t>7196.0</t>
  </si>
  <si>
    <t>Affidamento diretto di una camera climatica per il monitoraggio avanzato in tempo reale delle fasi di evoluzione della pianta componente del prototipo sperimentale Smart Growth Room nellambito del progetto Veritas (ARS01_01000) per le esigenze del Dipartimento di Ingegneria</t>
  </si>
  <si>
    <t>03789191008-NUOVA CRIOTECNICA AMCOTA DI LOMBARDI LUIGI MARIO SNC</t>
  </si>
  <si>
    <t>60800.0</t>
  </si>
  <si>
    <t>inizio 03/03/2022</t>
  </si>
  <si>
    <t>36468.0</t>
  </si>
  <si>
    <t>Corso di Formazione "Le delibere dell'Universit√†", organizzato da LineAtenei</t>
  </si>
  <si>
    <t>inizio 01/03/2022, ultimazione 31/12/2022</t>
  </si>
  <si>
    <t>Servizio di pubblicazione Avviso post-informazione, e relativo estratto, concernenti l'affidamento del servizio di progettazione di livello definitivo ed esecutivo relativa ai "Lavori di riqualificazione con efficientamento energetico di livello NZEB delledificio sede del DEMM di Via delle Puglie"</t>
  </si>
  <si>
    <t>inizio 01/03/2022, ultimazione 23/03/2022</t>
  </si>
  <si>
    <t>1799.5</t>
  </si>
  <si>
    <t>Corso di Formazione CEIDA</t>
  </si>
  <si>
    <t>85002540582-CEIDA</t>
  </si>
  <si>
    <t>inizio 01/03/2022, ultimazione 02/12/2022</t>
  </si>
  <si>
    <t xml:space="preserve">Servizi pubblicitari per promuovere l'Offerta Formativa a.a. 2021/2022 della Universit√† degli Studi del Sannio, ed in particolare, acquisto di uno spazio pubblicitario di 3/4 PAGINA DI PUBBLIREDAZIONALE nell'ambito del quotidiano Il Sole 24 ore /scenari GUIDA UNIVERSITA' </t>
  </si>
  <si>
    <t>02414280343-B-Side Comminucation s.r.l.</t>
  </si>
  <si>
    <t>4900.0</t>
  </si>
  <si>
    <t>inizio 21/02/2022, ultimazione 21/03/2022</t>
  </si>
  <si>
    <t>Optical Microscopy Course Educational Kit, Metric_ DIP ECCELLENZA_Prof. Consales</t>
  </si>
  <si>
    <t>11034.62</t>
  </si>
  <si>
    <t>inizio 18/02/2022, ultimazione 03/03/2022</t>
  </si>
  <si>
    <t>Determina di affidamento diretto di Attrezzature Informatiche, tramite Accordo Quadro stipulato dallAteneo, ad esito di R.D.O. sul M.E.P.A. (Decreto Direttoriale del 25 febbraio 2021, n. 229), con il fornitore AM Informatica di Monaco Armando, per esigenze di ricerca e didattica del Dipartimento di Scienze e Tecnologie, ai sensi dell'art. 36, co 2, lett. a) del D.Lgs. 50/2016 di  1.156,00 oltre Iva</t>
  </si>
  <si>
    <t>1156.0</t>
  </si>
  <si>
    <t>inizio 17/02/2022, ultimazione 30/03/2022</t>
  </si>
  <si>
    <t>Affidamento diretto pubblicazione articolo scientifico prof.ssa Carmen Perugia</t>
  </si>
  <si>
    <t>3226.9</t>
  </si>
  <si>
    <t>inizio 17/02/2022, ultimazione 24/02/2022</t>
  </si>
  <si>
    <t>Servizio di manutenzione ordinaria e straordinaria per lascensore a servizio delledificio ex ADISURC sito a Benevento in Via tenente Pellegrini</t>
  </si>
  <si>
    <t>3686.0</t>
  </si>
  <si>
    <t>inizio 16/02/2022</t>
  </si>
  <si>
    <t>RAD202_affidamento diretto pubblicazione articolo su rivista scientifica_prof Sciarrillo</t>
  </si>
  <si>
    <t>inizio 15/02/2022, ultimazione 22/04/2022</t>
  </si>
  <si>
    <t>Affidamento diretto ex art. 36, comma 2, lett. a) del D. Lgs. 50/2016, per lacquisizione di Lenovo ThinkStation P620 - tower per esigenze di ricerca, presso il Dipartimento di Ingegneria, della prof.ssa Silvia Ullo -QUOTA PARTE</t>
  </si>
  <si>
    <t>2293.04</t>
  </si>
  <si>
    <t>inizio 14/02/2022, ultimazione 20/02/2022</t>
  </si>
  <si>
    <t xml:space="preserve">Affidamento diretto, ex art. 36, comma 2, lett.a), del D. Lgs. 50/2016, per un importo pari ad euro 2.874,00 IVA intaUE esclusa al 22%, per lacquisto di n.1 Sorgente SLED integrata ad una driver board per la messa a punto di prototipi in fibra ottica per le esigenze del Dipartimento di Ingegneria </t>
  </si>
  <si>
    <t>CHE110240227-EXALOS AG</t>
  </si>
  <si>
    <t>2874.0</t>
  </si>
  <si>
    <t>inizio 14/02/2022, ultimazione 30/06/2022</t>
  </si>
  <si>
    <t>Servizio di giardinaggio variplessi di Ateneo</t>
  </si>
  <si>
    <t>38590.0</t>
  </si>
  <si>
    <t>inizio 14/02/2022</t>
  </si>
  <si>
    <t>Affidamento diretto indagine abitudini di acquisto consumatore prodotto materasso_ prof. ssa Vittoria Marino DEMM</t>
  </si>
  <si>
    <t>07098820967-Dynata Italy srl</t>
  </si>
  <si>
    <t>1450.0</t>
  </si>
  <si>
    <t>inizio 11/02/2022, ultimazione 30/06/2022</t>
  </si>
  <si>
    <t>Servizio integrato di Medicina del Lavoro e Supporto Tecnico e Specialistico alla Valutazione dei Rischi sui luoghi di lavoro dell'Universit√† degli Studi del Sannio.</t>
  </si>
  <si>
    <t>07504040630-SPESL SRL</t>
  </si>
  <si>
    <t>inizio 11/02/2022, ultimazione 31/12/2023</t>
  </si>
  <si>
    <t>16497.16</t>
  </si>
  <si>
    <t>RAD477_ Datalogger, sensori di flusso termico, pacchetto software_ De Masi</t>
  </si>
  <si>
    <t>4842.0</t>
  </si>
  <si>
    <t>inizio 10/02/2022, ultimazione 30/06/2022</t>
  </si>
  <si>
    <t>RAD437 Affidamento diretto pc desktop MSI PRO_BUDGET 40% Dott. Gigante</t>
  </si>
  <si>
    <t>03878640238-VIRTUAL LOGIC SRL</t>
  </si>
  <si>
    <t>1207.64</t>
  </si>
  <si>
    <t>inizio 10/02/2022, ultimazione 02/03/2022</t>
  </si>
  <si>
    <t>RAD444 Affidamento diretto materiale informatico BUDGET DOTT40% Dott. Gigante</t>
  </si>
  <si>
    <t>559.0</t>
  </si>
  <si>
    <t>inizio 10/02/2022, ultimazione 01/03/2022</t>
  </si>
  <si>
    <t>RAD28 2022_ Pubblicazione su rivista scientifica edita da MDPI_Federica CIOFFI_ PRIN</t>
  </si>
  <si>
    <t>1172.23</t>
  </si>
  <si>
    <t>inizio 10/02/2022, ultimazione 14/04/2022</t>
  </si>
  <si>
    <t>Determina di affidamento diretto di Materiale Informatico Vario, tramite Accordo Quadro stipulato dallAteneo, ad esito di R.D.O. sul M.E.P.A. (Decreto Direttoriale del 02 marzo 2021, n. 239), con il fornitore Mods Art S.r.l.,, per esigenze di ricerca e didattica del Dipartimento di Diritto, Economia, Management e Metodi Quantitativi- Demm, ai sensi dell'art. 36, co 2, lett. a) del D.Lgs. 50/2016  - P. Mancini e Sonia Bovino</t>
  </si>
  <si>
    <t>837.41</t>
  </si>
  <si>
    <t>inizio 09/02/2022, ultimazione 20/02/2022</t>
  </si>
  <si>
    <t>Servizio di pubblicazione Avviso post-informazione gara fornitura arredi "Quarto Stralcio Funzionale"</t>
  </si>
  <si>
    <t>08959351001-Vivenda Srl</t>
  </si>
  <si>
    <t>2174.03</t>
  </si>
  <si>
    <t>inizio 08/02/2022, ultimazione 01/03/2022</t>
  </si>
  <si>
    <t xml:space="preserve">Affidamento diretto ex art. 36, comma 2, lett. a) del D. Lgs. 50/2016 per lacquisizione di Lenovo ThinkStation P620 - tower per esigenze di ricerca, presso il Dipartimento di Ingegneria, della prof.ssa Silvia Ullo, nellambito del progetto AI powered cross-modal adaptation techniques applied to Sentinel-1 and -2 data, contratto Agenzia Spaziale Europea - ESA </t>
  </si>
  <si>
    <t>04427081007-ECO LASER INFORMATICA SRL</t>
  </si>
  <si>
    <t>6147.54</t>
  </si>
  <si>
    <t>inizio 08/02/2022, ultimazione 19/07/2022</t>
  </si>
  <si>
    <t>RAD 34 22 _ Affidamento diretto monitor prof. Vaccaro_ oda mepa</t>
  </si>
  <si>
    <t>319.48</t>
  </si>
  <si>
    <t>inizio 07/02/2022, ultimazione 04/04/2022</t>
  </si>
  <si>
    <t xml:space="preserve">ordine di acquisto in adesione  Accordo Quadro di durata 36 mesi  LOTTO II, della fornitura di Carta naturale in risme formato A4 - D.D. N. 530/2020. </t>
  </si>
  <si>
    <t>1098.64</t>
  </si>
  <si>
    <t>inizio 04/02/2022, ultimazione 21/02/2022</t>
  </si>
  <si>
    <t>Affidamento diretto materiale informatico in adesione AQ_ prof. Luigi Glielmo</t>
  </si>
  <si>
    <t>4452.36</t>
  </si>
  <si>
    <t>inizio 03/02/2022, ultimazione 30/06/2022</t>
  </si>
  <si>
    <t>Affidamento diretto materiale informaticoin adesione AQ_ prof. Giovanni Fiengo</t>
  </si>
  <si>
    <t>1860.26</t>
  </si>
  <si>
    <t>Affidamento diretto materiale informaticoin adesione AQ_ prof. Stefano Acierno</t>
  </si>
  <si>
    <t>661.88</t>
  </si>
  <si>
    <t>inizio 03/02/2022, ultimazione 31/03/2022</t>
  </si>
  <si>
    <t>MEPA_ Acquisto Notebook per esigenze dei docenti Proff.  Luuigi Cerulo e Mariano Mercurio per esigenze di ricerca  presso Dipartimento di Scienze e Tecnologie -</t>
  </si>
  <si>
    <t>3300.0</t>
  </si>
  <si>
    <t>inizio 03/02/2022, ultimazione 10/06/2022</t>
  </si>
  <si>
    <t>Affidamento diretto materiale informatico in adesione AQ_ prof. Gustavo MARINI</t>
  </si>
  <si>
    <t>186.9</t>
  </si>
  <si>
    <t>inizio 03/02/2022</t>
  </si>
  <si>
    <t xml:space="preserve">DST_RAD10_ Affidamento diretto per pubblicazione articolo su rivista scientifica edita da MDPI_ prof. Graziano </t>
  </si>
  <si>
    <t>1127.14</t>
  </si>
  <si>
    <t>inizio 01/02/2022, ultimazione 08/02/2022</t>
  </si>
  <si>
    <t>Corso di Formazione Nuova Passweb, organizzato dal Pubbliformez Srl, desinato a unit√† di personale</t>
  </si>
  <si>
    <t>inizio 01/02/2022, ultimazione 01/02/2022</t>
  </si>
  <si>
    <t>Determina di affidamento diretto di Attrezzature Informatiche, tramite Accordo Quadro stipulato dallAteneo, ad esito di R.D.O. sul M.E.P.A. (Decreto Direttoriale del 25 febbraio 2021, n. 229), con il fornitore AM Informatica di Monaco Armando, per esigenze di ricerca e didattica presso il Dipartimento di Scienze e Tecnologie ai sensi dell'art. 36, co 2, lett. a) del D.Lgs. 50/2016 - Rich. Dr.ssa Di Meo Maria Chiara</t>
  </si>
  <si>
    <t>2369.51</t>
  </si>
  <si>
    <t>inizio 01/02/2022, ultimazione 10/05/2022</t>
  </si>
  <si>
    <t>Affidamento diretto per componentistica utile allo svolgimento delle attivit√† di ricerca su fibre ottiche_prof. Marco PISCO</t>
  </si>
  <si>
    <t xml:space="preserve">00466240348-GLENAIR ITALIA SPA </t>
  </si>
  <si>
    <t>7234.4</t>
  </si>
  <si>
    <t>inizio 31/01/2022, ultimazione 04/04/2022</t>
  </si>
  <si>
    <t>7249.4</t>
  </si>
  <si>
    <t>Affidamento diretto toner per laboratorio "Impianti Industriali"</t>
  </si>
  <si>
    <t>1319.8</t>
  </si>
  <si>
    <t>inizio 26/01/2022, ultimazione 02/03/2022</t>
  </si>
  <si>
    <t>Affidamento diretto MEPA TONER per stampanti studi docenti</t>
  </si>
  <si>
    <t>608.71</t>
  </si>
  <si>
    <t>inizio 26/01/2022</t>
  </si>
  <si>
    <t xml:space="preserve">Adesione Accordo Quadro Consip Fuel Card 2  Lotto Unico per le esigenze dell'Universit√† degli Studi del Sannio </t>
  </si>
  <si>
    <t>00051570893-Italiana Petroli s.p.a.</t>
  </si>
  <si>
    <t>9554.1</t>
  </si>
  <si>
    <t>inizio 25/01/2022, ultimazione 30/11/2024</t>
  </si>
  <si>
    <t>Acquisto Materiali laboratorio per il Professore Vito</t>
  </si>
  <si>
    <t>381.2</t>
  </si>
  <si>
    <t>inizio 21/01/2022, ultimazione 12/02/2022</t>
  </si>
  <si>
    <t>Affidamento diretto, ai sensi dellart. 36 comma 2 lett. a) del D.lgs. 50/2016 e s.m.i., con applicazione dellart. 1, comma 2, D.L. 16 luglio 2020 n. 76 convertito in  legge 11 settembre 2020 n. 120, per la conclusione di un Accordo Quadro con unico operatore economico, ai sensi dellart.54 comma 3 del D.lgs 50/2016 e s.m.i., valido per 36 mesi, per la fornitura a somministrazione, resa franco d'imballo, trasporto e consegna, di prodotti anticorpi necessari al funzionamento dei Laboratori chimici e biologici del Dipartimento di Scienze e Tecnologie dellUniversit√† degli Studi del Sannio  via Francesco De Sanctis, snc  82100 Benevento</t>
  </si>
  <si>
    <t>47283.9</t>
  </si>
  <si>
    <t>inizio 20/01/2022, ultimazione 20/01/2025</t>
  </si>
  <si>
    <t>Affidamento diretto ex art. 36, comma 2, lett. a) del D. Lgs. 50/2016, alla Societ√† LIFE TECHNOLOGIES ITALIA, Fil. della Life Technologies Europe B.V., con sede in Monza (MB), Via Tiepolo, n. 18 - Cap. 20900  P.IVA/C.F. 12792100153, per un importo pari ad uro 3.640,74 oltre IVA, per l'acquisto di materiale di consumo per i Laboratori  del  Dipartimento di Scienze e Tecnologie.</t>
  </si>
  <si>
    <t>3640.74</t>
  </si>
  <si>
    <t>inizio 19/01/2022, ultimazione 26/02/2022</t>
  </si>
  <si>
    <t>1242.36</t>
  </si>
  <si>
    <t>AFFIDAMENTO DEL SERVIZIO DI VIGILANZA E DEL SERVIZIO DI PORTIERATO PER LADOZIONE DELLE MISURE ORGANIZZATIVE E DI PRESIDIO PER PROSIEGUO DELLE ATTIVIT IN CONDIZIONE DI SICUREZZA A CAUSA DEL COVID-19 DA EFFETTUARSI NEI PLESSI IMMOBILIARI DELLUNIVERSIT DEGLI STUDI DEL SANNIO</t>
  </si>
  <si>
    <t>02269520645-POLIZIOTTO NOTTURNO S.R.L.</t>
  </si>
  <si>
    <t>101720.0</t>
  </si>
  <si>
    <t>inizio 19/01/2022, ultimazione 19/03/2023</t>
  </si>
  <si>
    <t>69094.0</t>
  </si>
  <si>
    <t>Pubblicazione estratto di Avviso manifestazione interesse acquisto immobile ad uso residenza universitaria sul quotidiano "Il Mattino"</t>
  </si>
  <si>
    <t>08526500155-PIEMME S.p.A.</t>
  </si>
  <si>
    <t>300.0</t>
  </si>
  <si>
    <t>inizio 18/01/2022, ultimazione 31/01/2023</t>
  </si>
  <si>
    <t>Pubblicazione su "Il Sannio Quotidiano" dell'estratto di avviso esplorativo per la presentazione di manifestazione di interesse finalizzata all'acquisto di un immobile da adibire ad uso residenza universitaria</t>
  </si>
  <si>
    <t>200.0</t>
  </si>
  <si>
    <t>inizio 18/01/2022, ultimazione 14/03/2022</t>
  </si>
  <si>
    <t>Pubblicazione banner contenente l'estratto di avviso esplorativo per la manifestazione di interesse finalizzata all'acquisto di un immobile ad uso residenza universitaria su "Gazzetta di Benevento"</t>
  </si>
  <si>
    <t>01051510624-Societ√† editoriale Maloeis S.a.s.</t>
  </si>
  <si>
    <t>50.0</t>
  </si>
  <si>
    <t>inizio 18/01/2022, ultimazione 25/01/2022</t>
  </si>
  <si>
    <t>Afidamento per pubblicazione articolo su rivista scientifica_ prof.ssa Raffaella De Matteis</t>
  </si>
  <si>
    <t>00000000000-Copernicus Gesellschaft mBH</t>
  </si>
  <si>
    <t>1767.0</t>
  </si>
  <si>
    <t>inizio 14/01/2022, ultimazione 20/01/2022</t>
  </si>
  <si>
    <t>Affidamento per pubblicazione articolo su riista scientifica_prof.ssa Rosaria Sciarrillo</t>
  </si>
  <si>
    <t xml:space="preserve">00000000000-LONGDOM GROUP SA </t>
  </si>
  <si>
    <t>inizio 14/01/2022, ultimazione 17/01/2022</t>
  </si>
  <si>
    <t>Affidamento per pubblicazione articolo su rivista scientifica_Prof. Alfredo Vaccaro</t>
  </si>
  <si>
    <t>450.0</t>
  </si>
  <si>
    <t>Fornitura e posa in opera di materiale grafico per lidentit√† visive per il Polo Didattico DST Via dei Mulini, Benevento.</t>
  </si>
  <si>
    <t>inizio 14/01/2022, ultimazione 02/03/2022</t>
  </si>
  <si>
    <t>RAD483_ Pubblicazione su rivista scientifica CCC prof.ssa Silvia Ullo</t>
  </si>
  <si>
    <t>1525.0</t>
  </si>
  <si>
    <t>inizio 14/01/2022, ultimazione 30/06/2022</t>
  </si>
  <si>
    <t>Affidamento per pubblicazione articolo su rivista scientifica_Prof.ssa Concetta Nazzaro</t>
  </si>
  <si>
    <t>946.8</t>
  </si>
  <si>
    <t>inizio 14/01/2022</t>
  </si>
  <si>
    <t>Affidamento per pubblicazione articolo su rivista scientifica_prof.ssa Paola Revellino</t>
  </si>
  <si>
    <t>00000000000-Informa UK limited</t>
  </si>
  <si>
    <t>705.0</t>
  </si>
  <si>
    <t>RAD449_Pubblicazione articolo scientifico rivista Frontiers Prof.ssa Concetta Ambrosino</t>
  </si>
  <si>
    <t>inizio 13/01/2022, ultimazione 27/01/2022</t>
  </si>
  <si>
    <t>Acquisto materiale di laboratorio per il prof.Vito</t>
  </si>
  <si>
    <t>314.0</t>
  </si>
  <si>
    <t>inizio 13/01/2022, ultimazione 28/02/2022</t>
  </si>
  <si>
    <t>Ammodernamento dellinfrastruttura tecnologica per incrementare la continuit√† del servizio dei server di Ateneo mediante un potenziamento della continuit√† elettrica con la fornitura e posa in opera di: un Gruppo Elettrogeno da 60 kVA, un UPS da 20kVA e un UPS da 60kVA</t>
  </si>
  <si>
    <t>01786680635-EL.PA. Elettrotecnica Partenopea Srl</t>
  </si>
  <si>
    <t>inizio 04/01/2022, ultimazione 12/05/2022</t>
  </si>
  <si>
    <t>RAD411 Affidamento diretto stampante multifunzione BUDGET DOTT40% Dott. Gigante</t>
  </si>
  <si>
    <t>248.0</t>
  </si>
  <si>
    <t>inizio 01/01/2022, ultimazione 30/06/2022</t>
  </si>
  <si>
    <t>Copertura assicurativa All Risks Property</t>
  </si>
  <si>
    <t>155871.0</t>
  </si>
  <si>
    <t>inizio 01/01/2022</t>
  </si>
  <si>
    <t>51957.0</t>
  </si>
  <si>
    <t>Copertura assicurativa All Risks Elettronica</t>
  </si>
  <si>
    <t>00818570012-UnipolSai Assicurazioni S.p.A.</t>
  </si>
  <si>
    <t>88725.0</t>
  </si>
  <si>
    <t>29575.0</t>
  </si>
  <si>
    <t>Copertura assicurativa Infortuni e Kasko dipendenti in missione</t>
  </si>
  <si>
    <t>08037550962-AIG Europe Limited</t>
  </si>
  <si>
    <t>16762.5</t>
  </si>
  <si>
    <t>5587.5</t>
  </si>
  <si>
    <t>Copertura assicurativa per la Responsabilit√† civile patrimoniale</t>
  </si>
  <si>
    <t>12525420159-XL Insurance Company SE</t>
  </si>
  <si>
    <t>60870.0</t>
  </si>
  <si>
    <t>20290.0</t>
  </si>
  <si>
    <t>Adesione accordo quadro pgt PRIN2017 ACIERNO</t>
  </si>
  <si>
    <t>446.59</t>
  </si>
  <si>
    <t>Affidamento del servizio Copertura assicurativa Infortuni Cumulativa per il periodo compreso tra le ore 24 del 31 dicembre 2021 e le ore 24.00 del 31 dicembre 2022</t>
  </si>
  <si>
    <t>inizio 01/01/2022, ultimazione 31/12/2022</t>
  </si>
  <si>
    <t>Fornitura dell'Abbonamento per il Triennio 2022-2024 della Gazzetta Asta e Appalti Pubblici</t>
  </si>
  <si>
    <t>00205740426-EDITRICE SIFIC SRL</t>
  </si>
  <si>
    <t>2760.0</t>
  </si>
  <si>
    <t>Copertura assicurativa RCT/O</t>
  </si>
  <si>
    <t>47880.0</t>
  </si>
  <si>
    <t>15960.0</t>
  </si>
  <si>
    <t>Affidamento del servizio di Copertura indennitaria da Sindromi influenzali di natura pandemica per i soggetti partecipanti alle azioni di mobilit√† Erasmus Studio e Traineeships dell'Universit√† degli Studi del Sannio dalle ore 24.00 del 31 dicembre 2021 fino alle ore 24.00 del  31 dicembre 2022</t>
  </si>
  <si>
    <t>05796440963-Intesa San Paolo RBM Salute s.p.a</t>
  </si>
  <si>
    <t>1750.0</t>
  </si>
  <si>
    <t>Affidamento diretto pubblicazione su rivista scientifica _prof.ssa Paolucci</t>
  </si>
  <si>
    <t>inizio 01/01/2022, ultimazione 30/01/2022</t>
  </si>
  <si>
    <t>RAD 462 Collimatore per fibre ottiche a 850nm con connettore</t>
  </si>
  <si>
    <t>00000000000-IMM Photonics GmbH</t>
  </si>
  <si>
    <t>297.0</t>
  </si>
  <si>
    <t xml:space="preserve">Affidamento diretto Rack refrigerato 12 KW monitorato </t>
  </si>
  <si>
    <t>07925350154-RITTAL SPA</t>
  </si>
  <si>
    <t>27024.0</t>
  </si>
  <si>
    <t>Pubblicazione su rivista scientifica internazionale Enviromrnt Pollution - prof.ssa Lorella Canzoniero</t>
  </si>
  <si>
    <t>2124.0</t>
  </si>
  <si>
    <t>inizio 31/12/2021, ultimazione 31/01/2022</t>
  </si>
  <si>
    <t>Affidamento diretto ex art. 36, comma 2, lett. a) del D. Lgs. 50/2016, alla M&amp;M BIOTECH S.c.a.r.l. con sede a Napoli (NA), Via de Bonis G.Generale, n.81 - Cap. 80123 - P.IVA/C.F. 05632311212, per l'acquisto di materiale di consumo per il Laboratorio di Biochimica presso il Dipartimento di Scienze e Tecnologie, che graver√† sui fondi Fondo 10% Dottorandi_RAPUANO , di cui √® titolare  il Prof. Angelo Lupo.</t>
  </si>
  <si>
    <t>798.8</t>
  </si>
  <si>
    <t>inizio 29/12/2021</t>
  </si>
  <si>
    <t>Affidamento diretto ex art. 36, comma 2, lett. a) del D. Lgs. 50/2016, alla Societ√† alla Societ√† CHEIMIKA SAS di Heim Jurgen con sede a Pellazzano (SA) in Via S. De Vita,19  Cap 84080 P.IVA/C.F.05317000650, per l'acquisto di materiale di consumo per il Laboratorio di Chimica Macromolecolare  presso il Dipartimento di Scienze e Tecnologie, relativo al progetto FRA_Pappalardo, di cui √® titolare la Prof.ssa Daniela Pappalardo.</t>
  </si>
  <si>
    <t>05317000650-Cheimika Sas di Heim Jurgen</t>
  </si>
  <si>
    <t>1177.57</t>
  </si>
  <si>
    <t xml:space="preserve">Affidamento diretto ex art. 36, comma 2, lett. a) del D. Lgs. 50/2016, alla Societ√†  EXACTA+OPTECH LABCENTER S.p.A., con sede in San Prospero (MO), Via Bosco, n. 21 - Cap. 41030  P.IVA/C.F. 01022690364, dellacquisto di materiale di consumo per il Laboratorio di Chimica presso il Dipartimento di Scienze e Tecnologie, che graver√† sul fondo del progetto Fondi DOTTPON40%XXXIII_GRAMAZIO, di cui √® titolare  la Prof.ssa Roberta Spadaccini </t>
  </si>
  <si>
    <t>3108.73</t>
  </si>
  <si>
    <t>Affidamento diretto, ex art. 36, comma 2, lett.a), del D. Lgs. 50/2016,  per lacquisto di acquisto di n. 1 cellulare per lo svolgimento delle attivit√† di servizio, richiesto dal Prof. Massimo Squillante quale direttore del Dipartimento di Diritto, Economia, Management e Metodi quantitativi - Demm, mediante Ordine diretto di Acquisto  ODA sul Mercato Elettronico della Pubblica Amministrazione - MEPA.</t>
  </si>
  <si>
    <t>DMRMSM69R06F965Z-MD RADIO COMUNICAZIONI</t>
  </si>
  <si>
    <t>756.54</t>
  </si>
  <si>
    <t>inizio 29/12/2021, ultimazione 28/01/2022</t>
  </si>
  <si>
    <t>Affidamento diretto ex art. 36, comma 2, lett. a) del D. Lgs. 50/2016, alla Societ√† AUROGENE S.r.l., con sede a Roma (RM), Via dei Lucani, n.51-53-55 - Cap. 00185  P.IVA 10926691006,  per l'acquisto di materiale di consumo per il laboratorio di Genetica presso il Dipartimento di Scienze e Tecnologie, relativo al progetto Inbiomed  Prodotti Innovativi ad alto contenuto biotecnologico per il settore medicale, di cui √® responsabile scientifico il Prof. Pasquale Vito.</t>
  </si>
  <si>
    <t>10926691006-AUROGENE S.R.L.</t>
  </si>
  <si>
    <t>2188.2</t>
  </si>
  <si>
    <t>Affidamento diretto ex art. 36, comma 2, lett. a) del D. Lgs. 50/2016, alla Societ√† EUROCLONE S.p.A. a socio unico, con sede a Milano (MI), Via Spezia,1 - Cap. 20142  P.IVA/C.F. 08126390155, dell'acquisto di materiale di consumo per il laboratorio di  Fisiologia,Endocrinologia e Metabolismo del  Dipartimento di Scienze e Tecnologie che graver√† sul fondo relativo al progetto IMM - Interiors con Materiali Multifunzionali, di cui √® responsabile scientifico la Prof.ssa Elena Silvestri</t>
  </si>
  <si>
    <t>506.25</t>
  </si>
  <si>
    <t>Affidamento diretto ex art. 36, comma 2, lett. a) del D. Lgs. 50/2016, alla Societ√† CONSUL S.r.l., con sede a Napoli (Na), Via Posillipo, n.316 - Cap. 80123  P.IVA 06768650639, per l'acquisto di materiale di consumo per il Laboratorio di Biologia Animale presso il Dipartimento di Scienze e Tecnologie, relativo al progetto FABR_Imperatore, di cui √® responsabile scientifico la  Prof.ssa Roberta Imperatore</t>
  </si>
  <si>
    <t>Affidamento diretto ex art. 36, comma 2, lett. a) del D. Lgs. 50/2016, alla Societ√† SARSTEDT  S.r.l., con sede a Trezzano sul Naviglio (MI), Viale Leonardo da Vinci, n.97 - Cap. 20090  P.IVA 02217770235 e C.F. 00695940213, per l'acquisto di materiale di consumo per il laboratorio di Biologia Molecolare presso il Dipartimento di Scienze e Tecnologia, relativo al progetto NEON Nanofotonica per nuovi approcci diagnostici e terapeutici in Oncologia e Neurologia, di cui √® responsabile scientifico la Prof.ssa Lina Sabatino.</t>
  </si>
  <si>
    <t>1142.0</t>
  </si>
  <si>
    <t>Affidamento diretto per la digitalizzazione delle schede di rischio dei compononenti non strutturali_Prof. Giuseppe Maddaloni</t>
  </si>
  <si>
    <t>07706970634-MARPAS SRL</t>
  </si>
  <si>
    <t>5500.0</t>
  </si>
  <si>
    <t>inizio 28/12/2021, ultimazione 21/02/2022</t>
  </si>
  <si>
    <t xml:space="preserve">Affidamento diretto ex art. 36, comma 2, lett. a) del D. Lgs. 50/2016, alla Societ√† CONSUL S.r.l., con sede a Napoli (Na), Via Posillipo, n.316 - Cap. 80123  P.IVA 06768650639, del servizio di riparazione dell'attrezzatura  Microtomo Leica RM2025 per i laboratori didattici del  Dipartimento di Scienze e Tecnologie </t>
  </si>
  <si>
    <t>780.0</t>
  </si>
  <si>
    <t>inizio 23/12/2021</t>
  </si>
  <si>
    <t xml:space="preserve">Affidamento diretto ex art. 36, comma 2, lett. a) del D. Lgs. 50/2016, alla Societ√† alla Societ√† CABRU S.a.s. con sede a Arcore (MB) in Via Forlanini, 52   Cap 20862 C.F.04168470153 e  P.IVA 04869950156, per l'acquisto di materiale di consumo per il Laboratorio di Biologia Animale presso il Dipartimento di Scienze e Tecnologie, relativo al progetto Fondi Dottorati DST 10%-  Facchiano Serena, di cui √® titolare la Prof.ssa Marina Paolucci.  </t>
  </si>
  <si>
    <t>04168470153-CABRU SAS DI BRUNO CASAGRANDE &amp; C.</t>
  </si>
  <si>
    <t>262.0</t>
  </si>
  <si>
    <t xml:space="preserve">GARA EUROPEA A PROCEDURA APERTA PER L'APPALTO DI FORNITURA E POSA IN OPERA DI ARREDI PER L'ALLESTIMENTO DI AULE E LABORATORI DIDATTICI PRESSO IL COMPLESSO IMMOBILIARE DENOMINATO "QUARTO STRALCIO FUNZIONALE" </t>
  </si>
  <si>
    <t>01656860622-DA.FA. Arredo Design srl,02900360658-SIAR srl con ruolo 01-MANDANTE,01932130790-Camillo Sirianni di Sirianni Angelo Francesco S.a.s. con ruolo 02-MANDATARIA</t>
  </si>
  <si>
    <t>02900360658-SIAR srl con ruolo 01-MANDANTE,01932130790-Camillo Sirianni di Sirianni Angelo Francesco S.a.s. con ruolo 02-MANDATARIA</t>
  </si>
  <si>
    <t>366909.15</t>
  </si>
  <si>
    <t>inizio 22/12/2021</t>
  </si>
  <si>
    <t>Progettazione architettonica  direttore operativo e consuntivo scientifico dei ADEGUAMENTO FUNZIONALE E TECNOLOGICO, MESSA IN SICUREZZA ED EFFICIENTAMENTO ENERGETICO DI PALAZZO SAN DOMENICO e restauro delle facciate</t>
  </si>
  <si>
    <t>12000.0</t>
  </si>
  <si>
    <t>inizio 22/12/2021, ultimazione 01/12/2022</t>
  </si>
  <si>
    <t>RAD476 AGGIORNAMENTO SOFTWARE ONE CLICK LABORATORIO FISICA TECNICA</t>
  </si>
  <si>
    <t>FI17391546-ONE CLICK LCA Ltd</t>
  </si>
  <si>
    <t>990.0</t>
  </si>
  <si>
    <t>inizio 22/12/2021, ultimazione 22/02/2022</t>
  </si>
  <si>
    <t>RESTAURO DELLAFFRESCO RAFFIGURANTE LA CROCIFISSIONE DI CRISTO SITO NELLA CHIESA DI SANTAGOSTINO DI BENEVENTO</t>
  </si>
  <si>
    <t>1024.79</t>
  </si>
  <si>
    <t>inizio 22/12/2021, ultimazione 30/04/2022</t>
  </si>
  <si>
    <t>Servizio di pubblicazione estratto Avviso esplorativo manifestazione interesse vendita/locazione Polo didattico Via Calandra sul quotidiano "Il Sannio Quotidiano"</t>
  </si>
  <si>
    <t>inizio 21/12/2021, ultimazione 21/12/2021</t>
  </si>
  <si>
    <t>Affidamento diretto ai sensi dell'art. 36, comma 2, lett. a) del D.Lgs 50/2016, e ss.mm.ii., del servizio in SaaS del sistema di gestione del ciclo delle performance Strategic PA Obiettivi e Performance (2022-2024)</t>
  </si>
  <si>
    <t>01448300689-Ecoh Media srl</t>
  </si>
  <si>
    <t>17280.0</t>
  </si>
  <si>
    <t>inizio 21/12/2021, ultimazione 21/12/2024</t>
  </si>
  <si>
    <t>11520.0</t>
  </si>
  <si>
    <t>Affidamento direttto, ai sensi dell'articolo 36, comma 2, D.Lgs 50/2016 e ss.mm.ii., del servizio di abbonamento digitale annuale al quotidiano il mattino</t>
  </si>
  <si>
    <t>inizio 20/12/2021, ultimazione 20/12/2022</t>
  </si>
  <si>
    <t>Servizio di pubblicazione estratto Avviso esplorativo manifestazione interesse vendita/locazione Polo didattico Via Calandra sul quotidiano "Corriere del Mezzogiorno ed. regionale"</t>
  </si>
  <si>
    <t>11484370967-Cairo RSC MEDIA S.p.A.</t>
  </si>
  <si>
    <t>inizio 18/12/2021, ultimazione 18/12/2021</t>
  </si>
  <si>
    <t xml:space="preserve">Affidamento, del Servizio di raccolta, ritiro e conferimento a discarica di rifiuti,  ai sensi dellarticolo 36, comma 2, lettera a), del D.Lgs. 50/2016 e s.m.i. a favore delloperatore economico IRPINIA RECUPERI S.R.L. - P.IVA:01970330641 - Via Tufarole n.72, 83042 Atripalda (AV).   </t>
  </si>
  <si>
    <t>01970330641-IRPINIA RECUPERI SRL</t>
  </si>
  <si>
    <t>2108.0</t>
  </si>
  <si>
    <t>inizio 17/12/2021, ultimazione 23/12/2021</t>
  </si>
  <si>
    <t>Affidamento diretto attrezzature laboratorio "misure" Progetto DIP. ECCELLENZA</t>
  </si>
  <si>
    <t>04681810281-MEASUREIT S.R.L</t>
  </si>
  <si>
    <t>36864.0</t>
  </si>
  <si>
    <t>inizio 16/12/2021</t>
  </si>
  <si>
    <t>Calorimetro differenziale per lanalisi delle propriet√† di capioni in finzione della temperatura_ prof. Stefano Acierno</t>
  </si>
  <si>
    <t>03847660960-M.PENATI STRUMENTI SRL</t>
  </si>
  <si>
    <t>26495.0</t>
  </si>
  <si>
    <t>inizio 15/12/2021, ultimazione 21/02/2022</t>
  </si>
  <si>
    <t>partecipazione alla manifestazione Orienta Sud 2021 digital</t>
  </si>
  <si>
    <t>inizio 15/12/2021, ultimazione 21/12/2021</t>
  </si>
  <si>
    <t>riparazione e recupero dati pc mac book pro in dotazione prof.ssa Del Vecchio</t>
  </si>
  <si>
    <t>05984211218-R STORE Spa</t>
  </si>
  <si>
    <t>1090.98</t>
  </si>
  <si>
    <t>inizio 15/12/2021, ultimazione 31/12/2021</t>
  </si>
  <si>
    <t xml:space="preserve">Servizio di facchinaggio e  rimontaggio di arredi per le esigenze del DING.  Affidamento ai sensi dellarticolo 36, comma 2, lettera a),  del D.Lgs. 50/2016 e s.m.i. a favore delloperatore economico FPG S.R.L. - P.IVA: 13738321002- Via del Pomerio,  83042 Benevento </t>
  </si>
  <si>
    <t>inizio 14/12/2021, ultimazione 17/12/2021</t>
  </si>
  <si>
    <t xml:space="preserve">Affidamento diretto, ai sensi dell'articolo 36, comma 2, lettera a), del Decreto Legislativo del 18 aprile 2016, n. 50, e ss.mm.ii., dei servizi pubblicitari per promuovere l'Offerta Formativa a.a. 2021/2022 della Universit√† degli Studi del Sannio </t>
  </si>
  <si>
    <t>inizio 13/12/2021, ultimazione 15/12/2021</t>
  </si>
  <si>
    <t xml:space="preserve">Affidamento diretto, ai sensi dell'articolo 36, comma 2, lettera a), del Decreto Legislativo del 18 aprile 2016, n. 50, e ss.mm.ii., dei servizi pubblicitari per promuovere l'Offerta Formativa a.a. 2021/2022 della Universit√† degli Studi del Sannio - Acquisto di  pagina sull'Agenda Realt√† Sannita 2022.  </t>
  </si>
  <si>
    <t>01797150628-Edizioni Realt√† Sannita della Comunione Ereditaria Fuccio Giovanni</t>
  </si>
  <si>
    <t>inizio 13/12/2021, ultimazione 18/02/2022</t>
  </si>
  <si>
    <t xml:space="preserve">Servizio di raccolta, ritiro e conferimento a discarica di rifiuti.  Affidamento ai sensi dellarticolo 36, comma 2, lettera a),  del D.Lgs. 50/2016 e s.m.i. a favore delloperatore economico IRPINIA RECUPERI S.R.L. - P.IVA:01970330641 - Via Tufarole n.72,  83042 Atripalda </t>
  </si>
  <si>
    <t>2257.0</t>
  </si>
  <si>
    <t>inizio 10/12/2021, ultimazione 28/02/2022</t>
  </si>
  <si>
    <t xml:space="preserve">Affidamento diretto, ex art. 36, comma 2, lett.a), del D. Lgs. 50/2016, mediante Ordine Diretto di Acquisto con ricorso ad Operatore Economico presente nell'elenco telematico di Ateneo per un servizio di autonoleggio con conducente da effettuarsi il giorno 17 dicembre 2021 </t>
  </si>
  <si>
    <t>inizio 10/12/2021, ultimazione 04/04/2022</t>
  </si>
  <si>
    <t>Affidamento diretto, ai sensi dellart. 36, comma 2, lett. a), Decreto Legislativo 18 aprile 2016, n. 50 e ss.mm.ii, dei Servizi Legali dellUniversit√† degli Studi del Sannio, per la durata di 36 mesi</t>
  </si>
  <si>
    <t>07446051216-Studio legale Contieri Majello Mercurio e associati</t>
  </si>
  <si>
    <t>73500.0</t>
  </si>
  <si>
    <t>inizio 10/12/2021</t>
  </si>
  <si>
    <t xml:space="preserve">Affidamento diretto ex art. 36, comma 2, lett. a) del D. Lgs. 50/2016, alla Societ√† GILSON ITALIA S.r.l., con sede a Cinisello Balsamo (MI), Via G. Matteotti, 98  - Cap. 20092  P.IVA 02829240155, per l'acquisto di materiale di consumo per il laboratorio di Biologia Molecolare presso il Dipartimento di Scienze e Tecnologie.  </t>
  </si>
  <si>
    <t>02829240155-GILSON ITALIA SRL</t>
  </si>
  <si>
    <t>1578.0</t>
  </si>
  <si>
    <t>inizio 09/12/2021</t>
  </si>
  <si>
    <t>Affidamento diretto ex art. 36, comma 2, lett. a) del D. Lgs. 50/2016, alla Societ√† alla Societ√† BIO-TECHNE S.r.l. a socio unico  con sede a Milano (MI) in Via Ranzato,12   Cap 20128  P.IVA/C.F. 04869950156, per l'acquisto di materiale di consumo per il Laboratorio di Biologia Animale presso il Dipartimento di Scienze e Tecnologie, relativo al progetto Fondi Dottorati DST 10%-  Facchiano Serena, di cui √® titolare la Prof.ssa Marina Paolucci.</t>
  </si>
  <si>
    <t>04869950156-Bio-Techne Srl</t>
  </si>
  <si>
    <t>635.0</t>
  </si>
  <si>
    <t>Servizio di verifica ordinaria e straordinaria per impianti elevatori per il bienni 2022- 2023 e 2024 -2025</t>
  </si>
  <si>
    <t>03486670650-SIDELMED SPA</t>
  </si>
  <si>
    <t>8280.0</t>
  </si>
  <si>
    <t>inizio 06/12/2021, ultimazione 02/12/2024</t>
  </si>
  <si>
    <t>Affidamento diretto ex art. 36, comma 2, lett. a) del D. Lgs. 50/2016, alla Societ√† SCHARLAB ITALIA  S.r.l., con sede a Riozzo di Cerro al Lambro (MI), Via A. De Gasperi, 56  - Cap.20070   C.F./P.IVA 09802470154, per l'acquisto di materiale di consumo per il Laboratorio Sistemi Integrati di Biologia Animale e Vegetale per lAmbiente e la Salute presso il Dipartimento di Scienze e Tecnologie, che  graver√† sul progetto BASC, il cui responsabile scientifico √® il Prof. Carmine Guarino.</t>
  </si>
  <si>
    <t>563.6</t>
  </si>
  <si>
    <t>inizio 02/12/2021</t>
  </si>
  <si>
    <t>Affidamento diretto ex art. 36, comma 2, lett. a) del D. Lgs. 50/2016, alla Societ√† BIO-TECHNE S.r.l. a socio unico  con sede a Milano (MI) in Via Ranzato,12   Cap 20128  P.IVA/C.F.04869950156,per l'acquisto di materiale di consumo per il Laboratorio di Biologia Molecolare  presso il Dipartimento di Scienze e Tecnologie, relativo al progetto 40% Dottorandi PON Barisciano Borsa PON n¬∞3- Codice DOT13C4050, il cui responsabile scientifico √® la Prof.ssa Maria Moreno</t>
  </si>
  <si>
    <t>1679.0</t>
  </si>
  <si>
    <t>Adesione accordo quadro monito 27" budget DOTT 40%</t>
  </si>
  <si>
    <t>203.0</t>
  </si>
  <si>
    <t>inizio 01/12/2021</t>
  </si>
  <si>
    <t>Affidamento diretto intra UE Schede per acquisizione parametri proetto ATTICUS</t>
  </si>
  <si>
    <t>647.1</t>
  </si>
  <si>
    <t>Adesione Accordo Quadro_MAC BOOK PRO14 prof.ssa Carmen Del Vecchio_pgt Veritas</t>
  </si>
  <si>
    <t>2335.24</t>
  </si>
  <si>
    <t>inizio 01/12/2021, ultimazione 01/03/2022</t>
  </si>
  <si>
    <t>Unit√† di interrogazione LUNA _ DIP ECCELLENZA_Prof. Consales</t>
  </si>
  <si>
    <t>03833540283-GHT PHOTONICS SRL</t>
  </si>
  <si>
    <t>31095.0</t>
  </si>
  <si>
    <t>inizio 01/12/2021, ultimazione 03/03/2022</t>
  </si>
  <si>
    <t>29280.0</t>
  </si>
  <si>
    <t>Affidamento diretto per materiale informatico budget40% Dottorando Gigante</t>
  </si>
  <si>
    <t>5938.36</t>
  </si>
  <si>
    <t>inizio 01/12/2021, ultimazione 19/01/2022</t>
  </si>
  <si>
    <t>5939.36</t>
  </si>
  <si>
    <t>n. 1 stampante con accessori adesione convenzione Consip Stampanti 18 - lotto 2 _prof. Roselli</t>
  </si>
  <si>
    <t>01788080156-Kyocera Document Solutions Italia s.p.a.</t>
  </si>
  <si>
    <t>204.52</t>
  </si>
  <si>
    <t>Adesione Accordo Quadro Workstation prof. Visaggio</t>
  </si>
  <si>
    <t>11417.0</t>
  </si>
  <si>
    <t>inizio 01/12/2021, ultimazione 18/02/2022</t>
  </si>
  <si>
    <t xml:space="preserve">Adesione accordo quadro_stampante budget 40% Dottorato </t>
  </si>
  <si>
    <t>Adesione Accordo Quadro ipad prof. Vaccaro</t>
  </si>
  <si>
    <t>469.0</t>
  </si>
  <si>
    <t>affidamento diretto per n 20 schede prototipali per sistema S-WEAR progetto ATTICUS_ prof. Luca De Vito</t>
  </si>
  <si>
    <t>01837040227-TRETEC SRL</t>
  </si>
  <si>
    <t>9950.0</t>
  </si>
  <si>
    <t>Banco di ottica geometrica e ondulatoria_Dipartimento Eccellenza_Prof. A.Feoli</t>
  </si>
  <si>
    <t>02706260169-Mad Apparecchiature Scientifiche Srl</t>
  </si>
  <si>
    <t>983.73</t>
  </si>
  <si>
    <t>inizio 30/11/2021</t>
  </si>
  <si>
    <t>Esperimento Completo legge MALUS _ Dipartimento di Eccellenza_ Prof. Feoli</t>
  </si>
  <si>
    <t xml:space="preserve">06384910151-ELITALIA SRL </t>
  </si>
  <si>
    <t>1623.6</t>
  </si>
  <si>
    <t>Affidamento adesione AQ_DELL NOTEBOOK xps _MADDALONI</t>
  </si>
  <si>
    <t>1674.9</t>
  </si>
  <si>
    <t>inizio 30/11/2021, ultimazione 31/12/2021</t>
  </si>
  <si>
    <t>¬ìServizio di manutenzione per due ascensori a servizio dell¬íedificio di nuova costruzione a Via dei Mulini. Affidamento ai sensi dell¬íarticolo 36, comma 2, lettera a),  del D.Lgs. 50/2016 e s.m.i. alla Societ√† per Azioni ¬ì Kone¬î, C. F. 05069070158   e P. IVA   12899760156.</t>
  </si>
  <si>
    <t>1440.0</t>
  </si>
  <si>
    <t>inizio 23/11/2021</t>
  </si>
  <si>
    <t>Accordo di collaborazione per attivit√† di valutazione immobiliare tra l'Universit√† degli Studi del Sannio e l'Agenzia delle Entrate. Valutazione di porzione di terreno sito in Benevento alla Piazza Risorgimento.</t>
  </si>
  <si>
    <t>06363391001-Agenzia delle  Entrate,  n. 106, 00147 Roma</t>
  </si>
  <si>
    <t>3032.0</t>
  </si>
  <si>
    <t>inizio 19/11/2021, ultimazione 27/09/2022</t>
  </si>
  <si>
    <t xml:space="preserve">Determina di affidamento diretto di Attrezzature Informatiche, tramite Accordo Quadro stipulato dallAteneo, ad esito di R.D.O. sul M.E.P.A. (Decreto Direttoriale del 25 febbraio 2021, n. 229), con il fornitore AM Informatica di Monaco Armando, per esigenze di ricerca e didattica del Dipartimento di Scienze e Tecnologie, ai sensi dell'art. 36, co 2, lett. a) del D.Lgs. 50/2016 </t>
  </si>
  <si>
    <t>5817.4</t>
  </si>
  <si>
    <t>inizio 17/11/2021</t>
  </si>
  <si>
    <t>Pubblicazione articolo su rivista scientifica Vaccines _ Prof. Pasquale Vito</t>
  </si>
  <si>
    <t>1803.43</t>
  </si>
  <si>
    <t>inizio 31/10/2021, ultimazione 31/12/2021</t>
  </si>
  <si>
    <t>Pubblicazione articolo "Anti-biofilm and Reaof Ozonated Oil in Lipsome"- Prof. Vito</t>
  </si>
  <si>
    <t>inizio 29/10/2021, ultimazione 30/12/2021</t>
  </si>
  <si>
    <t>Affidamento diretto ex art. 36, comma 2, lett. a) del D. Lgs. 50/2016, alla Societ√† BIO-RAD LABORATORIES S.r.l., con sede a Segrate (MI), Via Cellini, n.18/A  - Cap. 20090  P.IVA 00801720152,, per l'acquisto di materiale di consumo per i Laboratori del  Dipartimento di Scienze e Tecnologie, la cui spesa graver√† sul progetto Fondo 10% Dottorato Viviana De Luca , di cui √® responsabile scientifico il Direttore didattico la Prof.ssa Maria Moreno</t>
  </si>
  <si>
    <t>237.9</t>
  </si>
  <si>
    <t>inizio 28/10/2021</t>
  </si>
  <si>
    <t xml:space="preserve">Affidamento diretto ex art. 36, comma 2, lett. a) del D. Lgs. 50/2016, alla Societ√† MERCK LIFE SCIENCE S.r.l., con sede a Milano (MI), Via Monte Rosa, n.93 - Cap. 20149  P.IVA/C.F. 13209130155, per l'acquisto di materiale di consumo per i Laboratori del  Dipartimento di Scienze e Tecnologie, relativo al progetto Fondo 10% Dottorato Viviana De Luca , di cui √® responsabile scientifico il Direttore didattico la Prof.ssa Maria Moreno.  </t>
  </si>
  <si>
    <t>238.2</t>
  </si>
  <si>
    <t>RCA e garanzie accessorie autovetture di ateneo periodo 27 ottobre 2021 - 27 ottobre 2022</t>
  </si>
  <si>
    <t>03298950969-Aviva Italia S.p.A</t>
  </si>
  <si>
    <t>1455.0</t>
  </si>
  <si>
    <t>inizio 27/10/2021, ultimazione 27/10/2022</t>
  </si>
  <si>
    <t>Servizi realizzati nell'ambito del progetto Salute CUP F84I19000760001_Varricchio</t>
  </si>
  <si>
    <t>00000000000-COSVITEC</t>
  </si>
  <si>
    <t>5081.0</t>
  </si>
  <si>
    <t>inizio 14/10/2021</t>
  </si>
  <si>
    <t>Mini proiettoe HD 108p 800ANSI lumen Prof Zimeo</t>
  </si>
  <si>
    <t>03340710270-ADpartners Srl</t>
  </si>
  <si>
    <t>625.6</t>
  </si>
  <si>
    <t>inizio 12/10/2021, ultimazione 30/11/2021</t>
  </si>
  <si>
    <t>Pubblicazione su rivista scientifica open access articolo polymer-1351867 _prof. Ciro Del Vecchio</t>
  </si>
  <si>
    <t>1442.74</t>
  </si>
  <si>
    <t>inizio 01/10/2021, ultimazione 15/10/2021</t>
  </si>
  <si>
    <t>Fornitura piattaforma Matlab per il periodo compreso tra il 01 ottobre 2021 e il 30 settembre 2022</t>
  </si>
  <si>
    <t>24012.0</t>
  </si>
  <si>
    <t>inizio 01/10/2021, ultimazione 30/09/2022</t>
  </si>
  <si>
    <t>Affidamento diretto ex art. 36, comma 2, lett. a) del D. Lgs. 50/2016, alla Societ√† MERCK LIFE SCIENCE S.r.l., con sede a Milano (MI), Via Monte Rosa, n.93 - Cap. 20149  P.IVA/C.F. 13209130155, per l'acquisto di materiale di consumo per il Laboratorio di Fisiologia/Genetica presso il Dipartimento di Scienze e Tecnologie, relativo al progetto Inbiomed  Prodotti Innovativi ad alto contenuto biotecnologico per il settore medicale, di cui √® responsabile scientifico il Prof. Pasquale Vito.</t>
  </si>
  <si>
    <t>1150.35</t>
  </si>
  <si>
    <t>inizio 30/09/2021</t>
  </si>
  <si>
    <t>Affidamento del servizio di organizzazione e gestione della prova scritta, a contenuto teorico-pratico, per N. 1 posto di Categoria D, Posizione Economica D1, Area Amministrativa Gestionale</t>
  </si>
  <si>
    <t>inizio 30/09/2021, ultimazione 08/11/2021</t>
  </si>
  <si>
    <t>Fornitura di Workstation, Personal Computer, Notebook, Tablet e accessori nell'ambito del Progetto Dipartimento di Eccellenza</t>
  </si>
  <si>
    <t xml:space="preserve">04624690634-I.T.M. Infomatica Telematica Meridonale SRL,07428820638-pointel communication spa,05685740721-C &amp; C Consulting srl,CRLGNN74D02A783A-CERINAT 2000 DI GIANNI CAIRELLA,08573761007-Finbuc s.r.l.,05083420637-Focelda s.p.a.,07268620726-Adesa s.r.l.,DMRGLC74H23D862P-Digi Tech di DAmore Gianluca,02991230588-G.D. Grafidata s.r.l.,05984211218-R-Store s.p.a. </t>
  </si>
  <si>
    <t xml:space="preserve">05984211218-R-Store s.p.a. </t>
  </si>
  <si>
    <t>135037.0</t>
  </si>
  <si>
    <t>inizio 29/09/2021</t>
  </si>
  <si>
    <t>2754.59</t>
  </si>
  <si>
    <t>Fornitura di "Servizi di comunicazione integrata comprensiva di campagna per la diffusione di corrette pratiche anti covid-19" - Affidamento ai sensi dellarticolo 36, comma 2, lettera a), del D.Lgs. 50/2016 e s.m.i. a</t>
  </si>
  <si>
    <t>30675.0</t>
  </si>
  <si>
    <t>inizio 24/09/2021, ultimazione 23/09/2022</t>
  </si>
  <si>
    <t>14925.0</t>
  </si>
  <si>
    <t xml:space="preserve">Affidamento diretto ex art. 36, comma 2, lett. a) del D. Lgs. 50/2016, alla Societ√† CONSUL S.r.l., con sede a Napoli (Na), Via Posillipo, n.316 - Cap. 80123  P.IVA 06768650639, dellacquisto di materiale di consumo per i laboratori didattici del  Dipartimento di Scienze e Tecnologie. </t>
  </si>
  <si>
    <t>4860.0</t>
  </si>
  <si>
    <t>inizio 22/09/2021</t>
  </si>
  <si>
    <t>Fornitura di n. 67.760 Buoni Pasto elettronici per un periodo di 24 mesi per le esigenze dell'Universit√† degli Studi del Sannio, mediante adesione Convenzione Consip</t>
  </si>
  <si>
    <t xml:space="preserve">01014660417-Edenred Italia s.r.l. </t>
  </si>
  <si>
    <t>380133.6</t>
  </si>
  <si>
    <t>Strumentazione con sistema ubuntu20.0 include Lambda Stack for managng TensorFlow utilizzo Didattica Avanzata nell'ambito Dipartimento di Eccellenza</t>
  </si>
  <si>
    <t>05374591005-EUROLINK SRL</t>
  </si>
  <si>
    <t>24400.0</t>
  </si>
  <si>
    <t>inizio 15/09/2021, ultimazione 31/12/2021</t>
  </si>
  <si>
    <t>Misuratore portata gas naturale laboratorio Fisica Tecnica per utilizzo nella Didattica Avanzata Dipartimento di Eccellenza</t>
  </si>
  <si>
    <t>MSCGNZ74L06B354Y-IMSYSTEM</t>
  </si>
  <si>
    <t>1847.0</t>
  </si>
  <si>
    <t>Oscilloscopio Tektronix con accessori per laboratorio Misure progetto Dipartimento di Eccellenza</t>
  </si>
  <si>
    <t>39975.0</t>
  </si>
  <si>
    <t>inizio 15/09/2021, ultimazione 08/02/2022</t>
  </si>
  <si>
    <t>39971.0</t>
  </si>
  <si>
    <t>Software ptv Vision SISTema _prof. Gallo-DIP ECCELLENZA</t>
  </si>
  <si>
    <t>10693001009-SISTEMA SRL</t>
  </si>
  <si>
    <t>5000.0</t>
  </si>
  <si>
    <t>inizio 15/09/2021, ultimazione 31/10/2021</t>
  </si>
  <si>
    <t xml:space="preserve">Stazione climatica per laboratorio Fisica Tecnica progetto Dipartimento di Eccellenza </t>
  </si>
  <si>
    <t xml:space="preserve">03091631204-METEO SYSTEM </t>
  </si>
  <si>
    <t>1550.0</t>
  </si>
  <si>
    <t>Determina di affidamento diretto di Attrezzature Informatiche, tramite Accordo Quadro stipulato dallAteneo, ad esito di R.D.O. sul M.E.P.A. (Decreto Direttoriale del 02 marzo 2021, n. 239), con il fornitore Mods Art S.r.l.,, per esigenze di ricerca e didattica del Dipartimento di Diritto, Economia, Management e Metodi Quantitativi, ai sensi dell'art. 36, co 2, lett. a) del D.Lgs. 50/2016</t>
  </si>
  <si>
    <t>342.0</t>
  </si>
  <si>
    <t>inizio 15/09/2021</t>
  </si>
  <si>
    <t>Accessori per analizzatore termogravitico in uso laboratorio Ingegneria Chimica e dei Materiali</t>
  </si>
  <si>
    <t>01599000765-AIRCOS SRL</t>
  </si>
  <si>
    <t>1640.0</t>
  </si>
  <si>
    <t>inizio 15/09/2021, ultimazione 18/11/2021</t>
  </si>
  <si>
    <t>Servizio di consulenza in materia di Societ√† Partecipate e di Misurazione e Valutazione della performance</t>
  </si>
  <si>
    <t>27716.0</t>
  </si>
  <si>
    <t>7020.0</t>
  </si>
  <si>
    <t xml:space="preserve">PLAXIS 3D WorkSuite Academic SELECT Sibscription nolo annuale </t>
  </si>
  <si>
    <t>1301.0</t>
  </si>
  <si>
    <t>Analizzatore di combustione laboratorio Fisica Tecnica per Utilizzo Didattica Avanzata Dipartimento di Eccellenza</t>
  </si>
  <si>
    <t>02099931202-SAUERMANN</t>
  </si>
  <si>
    <t>3535.5</t>
  </si>
  <si>
    <t>Gas per funzionamento analizzatore termogravimetrico laboratorio di Ingegneria Chimica e dei Materiali</t>
  </si>
  <si>
    <t>350.1</t>
  </si>
  <si>
    <t>Affidamento diretto ex art. 36, comma 2, lett. a) del D. Lgs. 50/2016, alla Societ√† CHARLES RIVER LABORATORIES ITALIA S.r.l. con sede a Calco (Lecco) in Via Indipendenza,11   Cap 23885  P.IVA/C.F.00887630150, per l'acquisto di materiale di consumo per il Laboratorio di Fisiologia, Endocrinologia e Metabolismo presso il Dipartimento di Scienze e Tecnologie, relativo al progetto "Prin 2017_CIOFFI" , di cui √® responsabile scientifico la Prof.ssa Federica Cioffi.</t>
  </si>
  <si>
    <t>00887630150-CHARLES RIVER LABORATORIES ITALIA S.R.L.</t>
  </si>
  <si>
    <t>7664.16</t>
  </si>
  <si>
    <t>inizio 10/09/2021</t>
  </si>
  <si>
    <t>Strumentazione e attrezzature</t>
  </si>
  <si>
    <t>10794580158-GIAKOVA SRL ,04681810281-MEASUREIT S.R.L,03616040964-Farnell Italia SRL ,10765880157-Distrelec  Italia  s.r.l,02267810964-RS Components s.r.l.,10740121008-Electro Rent s.r.l.,02778790218-CONRAD ELECTRONIC ITALIA SRL</t>
  </si>
  <si>
    <t>114779.74</t>
  </si>
  <si>
    <t>inizio 04/09/2021, ultimazione 22/03/2022</t>
  </si>
  <si>
    <t>Affidamento diretto ex art. 36, comma 2, lett. a) del D. Lgs. 50/2016, alla Societ√† VWR International  S.r.l., con sede a Milano (MI), Via San Giusto, 85 - Cap. 20153  P.IVA /C.F. 12864800151, per l'acquisto di materiale di consumo per il laboratorio di Genetica presso il Dipartimento di Scienze e Tecnologie, relativo al progetto Inbiomed  Prodotti Innovativi ad alto contenuto biotecnologico per il settore medicale, di cui √® responsabile scientifico il Prof. Pasquale Vito.</t>
  </si>
  <si>
    <t>260.0</t>
  </si>
  <si>
    <t>inizio 26/08/2021</t>
  </si>
  <si>
    <t>Affidamento diretto ex art. 36, comma 2, lett. a) del D. Lgs. 50/2016, alla Societ√† MERCK LIFE SCIENCE S.r.l., con sede a Milano (MI), Via Monte Rosa, n.93 - Cap. 20149  P.IVA/C.F. 13209130155, per l'acquisto di materiale di consumo per il laboratorio di Biologia Molecolare presso il Dipartimento di Scienze e Tecnologia, relativo al progetto NEON Nanofotonica per nuovi approcci diagnostici e terapeutici in Oncologia e Neurologia, di cui √® responsabile scientifico la Prof.ssa Lina Sabatino</t>
  </si>
  <si>
    <t>2750.1</t>
  </si>
  <si>
    <t>Affidamento diretto ex art. 36, comma 2, lett. a) del D. Lgs. 50/2016, alla Societ√† LIFE TECHNOLOGIES ITALIA, Fil. della Life Technologies Europe B.V., con sede in Monza (MB), Via Tiepolo, n. 18 - Cap. 20900  P.IVA/C.F. 12792100153,per l'acquisto di materiale di consumo per il Laboratorio di Biologia Applicata presso il Dipartimento di Scienze e Tecnologie, che graver√† sul fondo relativo al progetto denominato Endocannabinoid system role in control of                      spermatogenesis (Prot. 20175MT5EM)- Linea Sud - PRIN 2017, di cui √® titolare  la Prof.ssa Concetta Ambrosino.</t>
  </si>
  <si>
    <t>362.58</t>
  </si>
  <si>
    <t>Affidamento diretto ex art. 36, comma 2, lett. a) del D. Lgs. 50/2016, alla Societ√† LIFE TECHNOLOGIES ITALIA, Fil. della Life Technologies Europe B.V., con sede in Monza (MB), Via Tiepolo, n. 18 - Cap. 20900  P.IVA/C.F. 12792100153,per l'acquisto di materiale di consumo per il Laboratorio di Biologia Applicata presso il Dipartimento di Scienze e Tecnologie, che graver√† sul fondo relativo al progetto denominato Legge Regionale del 28 Marzo 2002 numero 5  Annualit√† 2007/2008 , di cui √® titolare  la Prof.ssa Concetta Ambrosino.</t>
  </si>
  <si>
    <t>374.64</t>
  </si>
  <si>
    <t>Affidamento diretto ex art. 36, comma 2, lett. a) del D. Lgs. 50/2016, alla BIOCLINICAL FORNITURE  S.a.s. con sede a Napoli (Na) in Via San Giacomo dei Capri, 125  Cap 80131 P.IVA/C.F. 03179910637 per l'acquisto di attrezzature tecnico-scientifiche necessarie ai laboratori di ricerca del Dipartimento di Scienze e Tecnologie, relativo al Progetto Genomaesalute, di cui √® responsabile scientifico il  Prof. Michele Ceccarelli</t>
  </si>
  <si>
    <t>2050.0</t>
  </si>
  <si>
    <t>inizio 05/08/2021</t>
  </si>
  <si>
    <t>Pubblicazione scientifica open access su rivista ieee</t>
  </si>
  <si>
    <t>1067.5</t>
  </si>
  <si>
    <t>inizio 01/08/2021, ultimazione 31/12/2021</t>
  </si>
  <si>
    <t>Reagenti per laboratorio di Biologia Molecolare Budget 10%DOTT Leo Manuela</t>
  </si>
  <si>
    <t>1635.75</t>
  </si>
  <si>
    <t>Pubblicazione articolo scientifico su rivista Bimedical Optics Express - Prof Marco Consales</t>
  </si>
  <si>
    <t>00000000000-The Optical Society</t>
  </si>
  <si>
    <t>1665.0</t>
  </si>
  <si>
    <t>Adesione Convenzione Consip "Veicoli in Noleggio 14"  lotto 2, per le esigenze del D.S.T. (Accordo Regione Campania (Direttore Generale per i Lavori Pubblici e la Protezione Civile) ai sensi dellart. 15 della Legge 7 agosto 1990, n. 241 e dellart. 4, comma 2 del D. Legislativo 2 gennaio 2018, n. 1 che ha per oggetto Studio della evoluzione della Frana di Montaguto (AV) con tecniche di monitoraggio integrato- Responsabili Scientifici prof. Guadagno e prof.ssa Revellino</t>
  </si>
  <si>
    <t>08083020019-Leasys Spa</t>
  </si>
  <si>
    <t>9345.96</t>
  </si>
  <si>
    <t>inizio 30/07/2021</t>
  </si>
  <si>
    <t>583.22</t>
  </si>
  <si>
    <t xml:space="preserve">Acquisto di spazi pubblicitari su Anteprima24.it </t>
  </si>
  <si>
    <t>01671520623-Anteprima Societ√† Cooperativa</t>
  </si>
  <si>
    <t>inizio 29/07/2021</t>
  </si>
  <si>
    <t xml:space="preserve"> Determina affidamento diretto Pubblicazione Scientifica prof. Vincenzo Galdi</t>
  </si>
  <si>
    <t>2677.5</t>
  </si>
  <si>
    <t>inizio 25/07/2021, ultimazione 31/12/2021</t>
  </si>
  <si>
    <t>Materiale per espressione e purificazione di proteine_ Prof.ssa Spadaccini</t>
  </si>
  <si>
    <t>Intervento tecnico pc in consegna prof. Celestino Grifa</t>
  </si>
  <si>
    <t>05685740721-C&amp;C Consulting s.p.a.</t>
  </si>
  <si>
    <t>Affidamento dei servizi per lelaborazione grafica della identit√† visiva caratterizzante le varie sedi dellAteneo</t>
  </si>
  <si>
    <t>inizio 23/07/2021, ultimazione 05/08/2021</t>
  </si>
  <si>
    <t>Sonde Oroboros, piccole strumentazioni per progetto Genoma e Salute _ DST_ prof. Luigi Cerulo</t>
  </si>
  <si>
    <t>00000000000-Oroboros Instruments GmbH</t>
  </si>
  <si>
    <t>2646.0</t>
  </si>
  <si>
    <t>inizio 22/07/2021, ultimazione 31/12/2021</t>
  </si>
  <si>
    <t>SOFTWARE ARENA per utilizzo didattica avanzata_dip eccellenza_ Prof. Savino</t>
  </si>
  <si>
    <t>09668930010-SPINDOX SPA</t>
  </si>
  <si>
    <t>inizio 19/07/2021, ultimazione 01/03/2022</t>
  </si>
  <si>
    <t>2550.0</t>
  </si>
  <si>
    <t>Analisi di mercato nell'ambito del progetto dal titolo "Viticoltura di precisione per produzioni sostenibili di qualit√† con caratteristiche funzionali (VERITAS)"</t>
  </si>
  <si>
    <t>00000000000-MORDOR</t>
  </si>
  <si>
    <t>3912.0</t>
  </si>
  <si>
    <t>inizio 15/07/2021, ultimazione 31/12/2021</t>
  </si>
  <si>
    <t>Materiale per laboratorio prof.ssa Concetta Ambrosino</t>
  </si>
  <si>
    <t>3966.94</t>
  </si>
  <si>
    <t>Sistema portatile radio per monitoraggio utilizzo nella diattica avanzata Fisica Tecnica Dipartimento di Eccellenza</t>
  </si>
  <si>
    <t>17358.0</t>
  </si>
  <si>
    <t>Servizio di trasporto per i giorni 13 e 14 luglio 2021 per la Summer School 2021</t>
  </si>
  <si>
    <t>850.0</t>
  </si>
  <si>
    <t>inizio 13/07/2021, ultimazione 16/07/2021</t>
  </si>
  <si>
    <t xml:space="preserve">Manutenzione alle tapparelle e fornitura di nuovi tendaggi verticali in sostituzione di quelli esistenti non pi√π utilizzabili e riparabili sempre a servizio dei alcuni uffici del plesso Ex Poste alla Via delle Puglie </t>
  </si>
  <si>
    <t>01706390620-MADIN SRL</t>
  </si>
  <si>
    <t>5419.5</t>
  </si>
  <si>
    <t>inizio 06/07/2021, ultimazione 20/07/2021</t>
  </si>
  <si>
    <t>Fornitura di n. 11.200 Buoni pasto elettronici</t>
  </si>
  <si>
    <t>08122660585-Repas Lunch Coupon s.r.l.</t>
  </si>
  <si>
    <t>61026.56</t>
  </si>
  <si>
    <t>inizio 01/07/2021</t>
  </si>
  <si>
    <t>51633.31</t>
  </si>
  <si>
    <t>Carico elettrico 7.5 KW Prodigit utilizzo didattica avanzata prof. Sasso Dipartimento di Eccellenza</t>
  </si>
  <si>
    <t xml:space="preserve">10151060158-SELINT SRL </t>
  </si>
  <si>
    <t>13775.0</t>
  </si>
  <si>
    <t>inizio 01/07/2021, ultimazione 31/12/2021</t>
  </si>
  <si>
    <t>Affidamento diretto ex art. 36, comma 2, lett. a) del D. Lgs. 50/2016, alla Societ√† CONSUL S.r.l., con sede a Napoli (Na), Via Posillipo, n.316 - Cap. 80123  P.IVA 06768650639 , per l'acquisto di attrezzature tecnico-scientifiche per i laboratori del Dipartimento di Scienze e Tecnologie, relativo al Progetto Genomaesalute, di cui √® responsabile scientifico il  Prof. Michele Ceccarelli</t>
  </si>
  <si>
    <t>10377.85</t>
  </si>
  <si>
    <t>inizio 29/06/2021</t>
  </si>
  <si>
    <t>Affidamento diretto ex art. 36, comma 2, lett. a) del D. Lgs. 50/2016, alla Societ√† BIOCLINICAL FORNITURE  S.a.s. con sede a Napoli (Na) in Via San Giacomo dei Capri, 125  Cap 80131 P.IVA/C.F. 03179910637, del servizio di riparazione pompa da vuoto per liofilizzatore per i laboratori didattici del  Dipartimento di Scienze e Tecnologia che graver√† sul fondo relativo al progetto Manutenzione Ordinaria Attrezzature, di cui √® titolare la Prof.ssa Maria Moreno.</t>
  </si>
  <si>
    <t>3500.0</t>
  </si>
  <si>
    <t>inizio 25/06/2021</t>
  </si>
  <si>
    <t>Servizio di intermediazione con l'artista Toni Servillo per la partecipazione al BCT edizione 2021</t>
  </si>
  <si>
    <t>09555911214-Associazione Culturale Agenzia Teatri</t>
  </si>
  <si>
    <t>inizio 22/06/2021, ultimazione 22/06/2021</t>
  </si>
  <si>
    <t>Servizio di supporto tecnico specialistico (on-site/da remoto) all'uso della piattaforma di e-procurement dell'Ateneo, per 3 giorni/mese per 24 mesi.</t>
  </si>
  <si>
    <t>06188330150-Maggioli Spa</t>
  </si>
  <si>
    <t>23760.0</t>
  </si>
  <si>
    <t>inizio 21/06/2021, ultimazione 21/06/2023</t>
  </si>
  <si>
    <t>OPAL-RT Technologies Real Time Simulation System DIPECCELLENZA _ Proff. Villacci, Vaccaro</t>
  </si>
  <si>
    <t>07707700014-AMET SRL</t>
  </si>
  <si>
    <t>37930.0</t>
  </si>
  <si>
    <t>inizio 21/06/2021</t>
  </si>
  <si>
    <t>Tavoletta vibrante_utilizzo didattica avanzata nell'ambito del progetto DIP.ECCELLENZA_Prof.ssa Monaco</t>
  </si>
  <si>
    <t>02859230167-Trio Sistemi e Misure srl</t>
  </si>
  <si>
    <t>18000.0</t>
  </si>
  <si>
    <t>inizio 19/06/2021, ultimazione 25/06/2021</t>
  </si>
  <si>
    <t>Fornitura di timbro per finalit√† legate al progetto NEON ARS01- resp. Prof. Andrea Cusano</t>
  </si>
  <si>
    <t>01462840628-TIPOGRAFIA CAPOBIANCO VINCENZO</t>
  </si>
  <si>
    <t>25.0</t>
  </si>
  <si>
    <t>inizio 10/06/2021, ultimazione 30/06/2021</t>
  </si>
  <si>
    <t xml:space="preserve">Fornitura di materiale grafico e installazioni per la identificazione visiva delle sedi della Universit√† degli Studi del Sannio Palazzo Bosco Lucarelli. </t>
  </si>
  <si>
    <t>3900.0</t>
  </si>
  <si>
    <t>inizio 27/05/2021, ultimazione 03/06/2021</t>
  </si>
  <si>
    <t>Analizzatore termogravimetrico (TGA) con calorimetria _prof. Pepe</t>
  </si>
  <si>
    <t xml:space="preserve">00718330152-METTLER TOLEDO </t>
  </si>
  <si>
    <t>40000.0</t>
  </si>
  <si>
    <t>inizio 12/05/2021</t>
  </si>
  <si>
    <t xml:space="preserve">Servizio di Rassegna Stampa e Media Monitoring per le esigenze dellUniversit√† degli Studi del Sannio per la durata di 36 mesi </t>
  </si>
  <si>
    <t>06862080154-L'Eco della Stampa</t>
  </si>
  <si>
    <t>inizio 12/05/2021, ultimazione 12/05/2024</t>
  </si>
  <si>
    <t>SOFTWARE SIMAPRO per utilizzo didattica avanzata_dip eccellenza_ Prof. SAVINO</t>
  </si>
  <si>
    <t xml:space="preserve">04495640262-2B SRL </t>
  </si>
  <si>
    <t>inizio 06/05/2021</t>
  </si>
  <si>
    <t>servizio prodromico consistente nella progettazione grafica e stampa, di un  Pannello finalizzato  allallestimento presso lAuditorium del complesso SantAgostino,  nonch√© di numero  40 pezzi di Eco Box 90LT;</t>
  </si>
  <si>
    <t>inizio 14/04/2021, ultimazione 11/05/2021</t>
  </si>
  <si>
    <t>Servizio allestimento degli spazi per la somministrazione dei Vaccini anti Covid 19</t>
  </si>
  <si>
    <t>inizio 13/04/2021, ultimazione 22/04/2021</t>
  </si>
  <si>
    <t>Servizio di accreditamento, formazione e gestione in materia di servizio civile per le esigenze dell'Univerist√† degli Studi del Sannio per la durata di tre anni</t>
  </si>
  <si>
    <t xml:space="preserve">94169170639-Associazione Amesci </t>
  </si>
  <si>
    <t>inizio 07/04/2021</t>
  </si>
  <si>
    <t>Procedura negoziata ex art. 63 del Decreto Legislativo 50/2016  e ss.mm.ii. da espletarsi mediante Piattaforma Telematica "Appalti&amp;Contratti" per laffidamento del servizio di Cassa dellUniversit√† degli Studi del Sannio per la durata di anni cinque da aggiudicarsi con il criterio dellofferta economicamente pi√π vantaggiosa sulla base del miglior rapporto qualit√† prezzo.</t>
  </si>
  <si>
    <t>02848590754-BANCA POPOLARE PUGLIESE,00423310630-BANCA DI CREDITO POPOLARE,03053920165-UBI BANCA SPA - UNIONE DI BANCHE ITALIANE,00254030729-BANCA POPOLARE DI BARI,00799960158-INTESA SAN PAOLO,00348170101-UNICREDIT,09722490969-BANCO BPM</t>
  </si>
  <si>
    <t>02848590754-BANCA POPOLARE PUGLIESE</t>
  </si>
  <si>
    <t>27000.0</t>
  </si>
  <si>
    <t>inizio 01/04/2021, ultimazione 31/03/2026</t>
  </si>
  <si>
    <t xml:space="preserve">Servizio di consulenza specialistica di assistenza tecnica alle attivit√† connesse alla Partecipazione al programma innovativo nazionale per la qualit√† dell'abitare.  </t>
  </si>
  <si>
    <t>PRRSVR70L12A783C-arch. Saverio Parrella</t>
  </si>
  <si>
    <t>inizio 20/03/2021, ultimazione 20/07/2021</t>
  </si>
  <si>
    <t>Servizi di indagini strutturali e geognostiche inerenti all'edificio ex Battistine</t>
  </si>
  <si>
    <t>01327380620-Geo-In S.r.l.</t>
  </si>
  <si>
    <t>39880.0</t>
  </si>
  <si>
    <t>inizio 09/03/2021</t>
  </si>
  <si>
    <t xml:space="preserve">Servizio FORNITURA GAS emesse da Estra  Energie srl (CIG: 85654343BE) a servizio dei plessi di Ateneo - Decreto Repertorio n. 962/2020 - Prot n. 22950 del 17/12/2020 </t>
  </si>
  <si>
    <t>01219980529-Estra Energie S.r.l. - Viale Toselli 9/A, 53100 Siena</t>
  </si>
  <si>
    <t>77721.31</t>
  </si>
  <si>
    <t>inizio 01/03/2021, ultimazione 01/03/2022</t>
  </si>
  <si>
    <t>56532.4</t>
  </si>
  <si>
    <t xml:space="preserve">Servizio di pubblicazione in GURI dell'Avviso di bando d'Asta per la Cessione della quota di partecipazione dell'Universit√† degli Studi del sannio  nella societ√† consortile a responsabilit√† limitata BENECON </t>
  </si>
  <si>
    <t>00399810589-Istituto Poligrafico e Zecca dello Stato s.p.a.</t>
  </si>
  <si>
    <t>379.93</t>
  </si>
  <si>
    <t>inizio 01/03/2021, ultimazione 12/03/2021</t>
  </si>
  <si>
    <t>Servizio FORNITURA  ELETTRICA  emesse da Enel Energia SpA - Decreto Rettorale del 17/12/2020 n. 961</t>
  </si>
  <si>
    <t>06655971007-Enel Energia - Mercato libero dell'energia Casella Postale 8080 - 85100 Potenza</t>
  </si>
  <si>
    <t>430327.86</t>
  </si>
  <si>
    <t>inizio 01/03/2021, ultimazione 01/09/2022</t>
  </si>
  <si>
    <t>161978.09</t>
  </si>
  <si>
    <t>Servizio di prenotazione ed emissione titoli di Viaggio (aerei, ferroviari, altri mezzi) comprensivo dell'Assicurazione Annullamento Viaggio, per le esigenze dei partecipanti al Progetto Ka107 nell'ambito del Programma ERASMUS</t>
  </si>
  <si>
    <t>BRRNGL61T54Z110F-Burriello Viaggi di Burriello Angela,00035100627-Savia di Boccaccino Bernardo &amp; C. s.a.s. ,01360430621-IL VIAGGIO DI CAPITAN FRACASSA S.N.C. DI MICHELINO LUONGO E C.,CLCFNC82A19A783U-WAY OUT TRAVEL DI FRANCESCO CALICCHIO,01754490629-Rotolando Verso Sud s.r.l.</t>
  </si>
  <si>
    <t>01754490629-Rotolando Verso Sud s.r.l.</t>
  </si>
  <si>
    <t>inizio 25/02/2021</t>
  </si>
  <si>
    <t>806.32</t>
  </si>
  <si>
    <t>Mat. consumo laboratorio</t>
  </si>
  <si>
    <t>1758.35</t>
  </si>
  <si>
    <t>Lavori di riqualificazione edile dell'immobile denominato Palazzo De Simone</t>
  </si>
  <si>
    <t>01255030627-COSTRUZIONI LOMBARDI ACHILLE S.R.L.,04876741218-I.CO.RES. S.R.L.,01403080623-CASAMASSA COSTRUZIONI SRL,01249220623-FERRARO COSTRUZIONI SRL,01692040627-ZENIT S.R.L.,01881650616-COSTRUZIONI DE.M.AL. SRL,01503070623-MASTIO RESTAURI SRL,01519510620-DWE S.R.L.,00908000623-AL.G.ASS. S.R.L.,06853531215-SERIDAN SOCIETA' COOPERATIVA,03789810615-EDILIZIA CALENA SRL,01483330625-EFFEDUE COSTRUZIONI S.R.L.,VRZFNC49P08B872T-GEOM. VERAZZO FRANCESCO,03568420636-VA.BEN SRL,02483170367-I.M.E.SRL,06495790724-DIELLE COSTRUZIONI S.r.l.</t>
  </si>
  <si>
    <t>01249220623-FERRARO COSTRUZIONI SRL</t>
  </si>
  <si>
    <t>350155.65</t>
  </si>
  <si>
    <t>inizio 17/02/2021, ultimazione 17/08/2021</t>
  </si>
  <si>
    <t>211858.25</t>
  </si>
  <si>
    <t>Servizi di ingegneria per la messa a norma antincendio dei seguenti plessi, palazzo De Simone, Ex Enel, Convitto Giannone.</t>
  </si>
  <si>
    <t>VRLVNI67P16A783X-Dott.Ing.Verlingieri Ivan</t>
  </si>
  <si>
    <t>11400.0</t>
  </si>
  <si>
    <t>inizio 17/02/2021</t>
  </si>
  <si>
    <t>Affidamento incarico di suppoto al RUP dell?unit√† Organizzativa Programmazione edilizia</t>
  </si>
  <si>
    <t>RBRPQL70B25C284B-Studio Ing. Pasquale Ruberto</t>
  </si>
  <si>
    <t>13056.0</t>
  </si>
  <si>
    <t>inizio 03/02/2021, ultimazione 02/02/2022</t>
  </si>
  <si>
    <t>Convenzione "Consip" Fornitura di energia elettrica, con il regime del Prezzo Fisso a 18 mesi, per il plesso edilizio "MUSA - Decreto Direttoriale N. 833/2020 Prot. n. 0020486 del 19/11/2020</t>
  </si>
  <si>
    <t>25000.0</t>
  </si>
  <si>
    <t>inizio 01/02/2021, ultimazione 01/08/2022</t>
  </si>
  <si>
    <t>13991.76</t>
  </si>
  <si>
    <t>Servizio di Multimedia Center per la durata di 24 mesi</t>
  </si>
  <si>
    <t>01065700534-OUVERTURE SERVICE SRL</t>
  </si>
  <si>
    <t>39990.0</t>
  </si>
  <si>
    <t>inizio 12/01/2021, ultimazione 12/01/2023</t>
  </si>
  <si>
    <t>23301.01</t>
  </si>
  <si>
    <t>Abbonamento, per il triennio 2021-2023, ai periodici e al sito editi dalla Maggioli S.p.A.</t>
  </si>
  <si>
    <t>06188330150-Maggioli S.p.A.</t>
  </si>
  <si>
    <t>3311.1</t>
  </si>
  <si>
    <t>inizio 01/01/2021, ultimazione 31/12/2023</t>
  </si>
  <si>
    <t>2207.4</t>
  </si>
  <si>
    <t xml:space="preserve">CONVEZIONE CONSIP ENERGIA ELETTRICA 17 LOTTO 13 - FORNITURA DI ENERGIA ELETTRICA, IN REGIME DI PREZZO FISSO A 18 MESI, PER IL PLESSO EDILIZIO DENOMINATO "EX ORSOLINE" - Procedura di scelta contraente AFFIDAMENTO DIRETTO IN ADESIONE AD ACCORDO QUADRO/CONVENZIONE - D.D. N. 696 DEL 08/10/2020 </t>
  </si>
  <si>
    <t>inizio 01/01/2021, ultimazione 01/07/2022</t>
  </si>
  <si>
    <t>170.03</t>
  </si>
  <si>
    <t xml:space="preserve">Fornitura di materiale cartotecnico e vestiario per i preposti agli accessi. </t>
  </si>
  <si>
    <t>4500.0</t>
  </si>
  <si>
    <t>inizio 31/12/2020</t>
  </si>
  <si>
    <t>Fornitura e posa in opera di frangisole per la sede EX Descrizione Enel. Trattiva Diretta MEPA1536929</t>
  </si>
  <si>
    <t>7185.76</t>
  </si>
  <si>
    <t>inizio 21/12/2020</t>
  </si>
  <si>
    <t xml:space="preserve">TAVOLETTA GRAFICA PROF. DI SARNO ODA MEPA DECRETO 350 2020 </t>
  </si>
  <si>
    <t>505.0</t>
  </si>
  <si>
    <t>inizio 18/12/2020</t>
  </si>
  <si>
    <t>TAVOLETTA GRAFICA tavolette grafiche simonelli DECRETO 350 2020</t>
  </si>
  <si>
    <t>382.0</t>
  </si>
  <si>
    <t>Seminario sulla fascicolazione dei documenti, organizzato dal CINECA per il personale tecnico ed amministrativo</t>
  </si>
  <si>
    <t>00317740371-CINECA Consorzio Interuniversitario</t>
  </si>
  <si>
    <t>inizio 10/12/2020</t>
  </si>
  <si>
    <t>Fornitura, in noleggio, per un periodo di 48 mesi di n. 4 apparecchiature multifunzione monocromatiche con produttivit√† media</t>
  </si>
  <si>
    <t>14000.0</t>
  </si>
  <si>
    <t>2586.67</t>
  </si>
  <si>
    <t>Fornitura di toner per stampanti istallate presso l'Amministrazione Centrale di Ateneo e di stampe in grande formato per interventi edilizi di Ateneo</t>
  </si>
  <si>
    <t>2861.1</t>
  </si>
  <si>
    <t>inizio 09/12/2020</t>
  </si>
  <si>
    <t>858.33</t>
  </si>
  <si>
    <t>622.0</t>
  </si>
  <si>
    <t>inizio 03/12/2020</t>
  </si>
  <si>
    <t>851.0</t>
  </si>
  <si>
    <t>inizio 01/12/2020</t>
  </si>
  <si>
    <t>1429.0</t>
  </si>
  <si>
    <t>873.0</t>
  </si>
  <si>
    <t>1120.0</t>
  </si>
  <si>
    <t>1370.0</t>
  </si>
  <si>
    <t>09939160157-DUOTECH SRL</t>
  </si>
  <si>
    <t>1060.0</t>
  </si>
  <si>
    <t>Seminario dal titolo Ricerca - Buone pratiche di lavoro per un archivio di qualit√†, organizzato dal CINECA, a cui hanno partecipato due unit√† di personale</t>
  </si>
  <si>
    <t>2615.0</t>
  </si>
  <si>
    <t>1697.0</t>
  </si>
  <si>
    <t>425.0</t>
  </si>
  <si>
    <t>1775.0</t>
  </si>
  <si>
    <t>480.0</t>
  </si>
  <si>
    <t>07984380969-EUROFINS GENOMICS ITALY SRL</t>
  </si>
  <si>
    <t>Convenzione Consip  per la fornitura di energia elettrica  edizione 17  Lotto 13 - con il regime a prezzo fisso 18 mesi -a servizio dell'immobile denominato "Ex Enel" - Denominazione contratto Consipee17_13__V_Fix18m - Data di attivazione della fornitura 01/12/2020</t>
  </si>
  <si>
    <t>81000.0</t>
  </si>
  <si>
    <t>inizio 01/12/2020, ultimazione 01/06/2022</t>
  </si>
  <si>
    <t>42734.29</t>
  </si>
  <si>
    <t>01777860360-GLASSCHIMICA LABORATORY SNC</t>
  </si>
  <si>
    <t>forniture riprogettazione aule sant'agostino TD MEPA 1527191</t>
  </si>
  <si>
    <t>01214220624-L&amp;G SERVICE SNC</t>
  </si>
  <si>
    <t>16150.0</t>
  </si>
  <si>
    <t>222.0</t>
  </si>
  <si>
    <t>1300.0</t>
  </si>
  <si>
    <t>inizio 26/11/2020</t>
  </si>
  <si>
    <t>Fornitura, in noleggio, per un periodo di 48 mesi, di n. 1 apparecchiatura multifunzione a colori con produttivit√† alta</t>
  </si>
  <si>
    <t>5342.88</t>
  </si>
  <si>
    <t>inizio 24/11/2020</t>
  </si>
  <si>
    <t>1335.72</t>
  </si>
  <si>
    <t>materiale informatico prof. Pepe DECRETO 298 2020</t>
  </si>
  <si>
    <t>1586.0</t>
  </si>
  <si>
    <t>inizio 19/11/2020</t>
  </si>
  <si>
    <t>materiale informatico prof. Canfora pgt CANTICO _oda mepa DECRETO 297 2020</t>
  </si>
  <si>
    <t xml:space="preserve">01383010475-Y2K DI BARONTINI FRANCESCO </t>
  </si>
  <si>
    <t>8542.0</t>
  </si>
  <si>
    <t>inizio 18/11/2020</t>
  </si>
  <si>
    <t>Reagenti per laboratorio</t>
  </si>
  <si>
    <t>3700.0</t>
  </si>
  <si>
    <t>inizio 17/11/2020</t>
  </si>
  <si>
    <t>1200.0</t>
  </si>
  <si>
    <t>3750.0</t>
  </si>
  <si>
    <t>inizio 16/11/2020</t>
  </si>
  <si>
    <t>1915.0</t>
  </si>
  <si>
    <t>Trattativa diretta MEPA 1470782 - Servizio di trasloco facchinaggio e sgombero e/o rimozione dei materiali di risulta della tipologia arredi, mobili e attrezzature da effettuarsi nei e tra i complessi immobiliari della Universit√† del Sannio per l'adozione delle misure organizzative e di presidio per proseguo delle attivit√† in condizione di sicurezza a causa del Covid-19 DD. N. 778 DEL 05/11/2020</t>
  </si>
  <si>
    <t>inizio 11/11/2020</t>
  </si>
  <si>
    <t>inizio 03/11/2020</t>
  </si>
  <si>
    <t>1310.0</t>
  </si>
  <si>
    <t>1130.0</t>
  </si>
  <si>
    <t>2120.0</t>
  </si>
  <si>
    <t>Corso di Formazione online dal titolo Esse3 Anagrafe Nazionale Studenti, organizzato dal CINECA, partecipazione di una unit√† di personale</t>
  </si>
  <si>
    <t>inizio 29/10/2020</t>
  </si>
  <si>
    <t>inizio 28/10/2020</t>
  </si>
  <si>
    <t>670.0</t>
  </si>
  <si>
    <t>13023610150-STARLAB S.r.l.</t>
  </si>
  <si>
    <t>564.0</t>
  </si>
  <si>
    <t>2350.0</t>
  </si>
  <si>
    <t>730.0</t>
  </si>
  <si>
    <t>inizio 22/10/2020</t>
  </si>
  <si>
    <t>Partecip all'evento "Borsa del Placement 2020"- Verona 26 e 27 ottobre 2020- DR N. 722 DEL 15/10/2020</t>
  </si>
  <si>
    <t>03367281205-FONDAZIONE EMBLEMA</t>
  </si>
  <si>
    <t>inizio 15/10/2020</t>
  </si>
  <si>
    <t>Allestimento di spazi per eventi ed attivit√† istituzionali in spazi diversi a seguito dell'emergenza COVID 19</t>
  </si>
  <si>
    <t>23568.5</t>
  </si>
  <si>
    <t>materiale informatico Uffici Dipartimento Ingegneria Oda Mepa DECRETO N. 263 2020</t>
  </si>
  <si>
    <t>1831.0</t>
  </si>
  <si>
    <t>inizio 06/10/2020</t>
  </si>
  <si>
    <t>materiale informatico prof. Gallo - ODA MEPA</t>
  </si>
  <si>
    <t>07296770634-BIOTEAM LAB SRL</t>
  </si>
  <si>
    <t>910.0</t>
  </si>
  <si>
    <t>Monitor laboratorio automatico oda mepa</t>
  </si>
  <si>
    <t xml:space="preserve">Fornitura della licenza per laccesso e lutilizzo del nuovo Sistema SISVALDIDAT (pacchetto base) da parte dellUniversit√† degli Studi del Sannio per le rilevazioni degli anni accademici 20-21/ 21-22/ 22-23 </t>
  </si>
  <si>
    <t>05754380482-VALMON SRL</t>
  </si>
  <si>
    <t>inizio 28/09/2020</t>
  </si>
  <si>
    <t>Servizio di migrazione dell'attuale sito web di ateneo dalla versione 7 del CMS Drupal alla versione 8 dello stesso CMS e del servizio di manutenzione ed hosting professionale per un anno</t>
  </si>
  <si>
    <t>30900.0</t>
  </si>
  <si>
    <t>inizio 03/09/2020</t>
  </si>
  <si>
    <t>Servizio di accreditamento, progettazione, formazione e gestione in materia di servizio civile per le esigenze dell'Universit√† degli Studi del Sannio</t>
  </si>
  <si>
    <t>inizio 31/08/2020</t>
  </si>
  <si>
    <t>Fornitura di notebook per la didattica blended mediante Convenzione CONSIP</t>
  </si>
  <si>
    <t>05773090013-ITD SOLUTIONS S.p.A.</t>
  </si>
  <si>
    <t>7588.0</t>
  </si>
  <si>
    <t>inizio 28/08/2020</t>
  </si>
  <si>
    <t>Affidamento di Servizi Tecnici per esigenze indifferibili connesse alla realizzazione di un Laboratorio di Ricerca Sperimentale dell'area dell'ingegneria civile, con particolare riferimento all'ingegneria sismica, geotecnica e costruzioni idrauliche.</t>
  </si>
  <si>
    <t>39936.0</t>
  </si>
  <si>
    <t>inizio 06/08/2020</t>
  </si>
  <si>
    <t>6240.0</t>
  </si>
  <si>
    <t>Completamento Servizi Catastali e servizi aggiuntivi in favore degli Immobili di propriet√† dell'Universit√† degli Studi del Sannio</t>
  </si>
  <si>
    <t>RCCFRC63L04L628E-ORICCHIO FEDERICO</t>
  </si>
  <si>
    <t>3640.0</t>
  </si>
  <si>
    <t>inizio 08/07/2020</t>
  </si>
  <si>
    <t>Fornitura  di servizi attinenti all'architettura e all'ingegneria beni e servizi consistenti nellaggiornamento e adeguamento del progetto esecutivo inerente ai lavori di Riqualificazione edile del Palazzo De Simone</t>
  </si>
  <si>
    <t>01176440624-Arch. Luigi Salierno</t>
  </si>
  <si>
    <t>33498.5</t>
  </si>
  <si>
    <t>inizio 22/06/2020</t>
  </si>
  <si>
    <t>15600.0</t>
  </si>
  <si>
    <t>Mat. consumo di laboratorio</t>
  </si>
  <si>
    <t>2205.1</t>
  </si>
  <si>
    <t>inizio 05/06/2020</t>
  </si>
  <si>
    <t xml:space="preserve">Accordo Quadro con un unico operatore economico (Articolo 54 del Decreto Legislativo del 18 aprile 2016, n. 50, e ss.mm.ii.) Lavori Edili per la manutenzione degli immobili dellUniversit√† degli Studi del Sannio </t>
  </si>
  <si>
    <t>01255030627-COSTRUZIONI LOMBARDI ACHILLE S.R.L.,04876741218-I.CO.RES. S.R.L.,01403080623-CASAMASSA COSTRUZIONI SRL,01249220623-FERRARO COSTRUZIONI SRL,01487150623-FUCCI EDIL RESTAURI SRL,01503070623-MASTIO RESTAURI SRL,01519510620-DWE S.R.L.,00908000623-AL.G.ASS. S.R.L.,01190850626-MATURO COSTRUZIONI SRL,01518620628-CO.GE.FRA. COSTRUZIONI SRL,01971810633-COGES S.R.L.,01373270626-COS.BO SRL,01737620706-ZAPPONE ANGELO SRL,01483330625-EFFEDUE COSTRUZIONI S.R.L.,03892770714-CETOLA S.p.A.,01478980707-P.Q. Edilizia E Strade S.R.L.</t>
  </si>
  <si>
    <t>01971810633-COGES S.R.L.</t>
  </si>
  <si>
    <t>inizio 06/05/2020, ultimazione 06/05/2023</t>
  </si>
  <si>
    <t>501667.99</t>
  </si>
  <si>
    <t>528.8</t>
  </si>
  <si>
    <t>inizio 10/04/2020</t>
  </si>
  <si>
    <t>427.0</t>
  </si>
  <si>
    <t>256.6</t>
  </si>
  <si>
    <t>inizio 06/04/2020</t>
  </si>
  <si>
    <t>Affidamento diretto Abbonamento triennale (01/02/2020 - 31/01/2023) alla rivista denominata "Bollettino di Legislazione Tecnica"</t>
  </si>
  <si>
    <t>05383391009-LEGISLAZIONE TECNICA srl</t>
  </si>
  <si>
    <t>459.0</t>
  </si>
  <si>
    <t>inizio 12/03/2020, ultimazione 31/01/2023</t>
  </si>
  <si>
    <t>153.0</t>
  </si>
  <si>
    <t xml:space="preserve">Servizi Consulenziali di natura specialistica in ambito Archeologico connessi alla realizzazione di un laboratorio di Ricerca Sperimentale dell'area dell'ingegneria civile, con particolare riferimento all'ingegneria sismica </t>
  </si>
  <si>
    <t>00934980624-HERA RESTAURI S.R.L.,00904980620-FRENTANUS SOCIETA' COOPERATIVA A R.L.</t>
  </si>
  <si>
    <t>00904980620-FRENTANUS SOCIETA' COOPERATIVA A R.L.</t>
  </si>
  <si>
    <t>7970.0</t>
  </si>
  <si>
    <t>inizio 09/03/2020</t>
  </si>
  <si>
    <t>affidamento diretto del servizio di consulenza e di assistenza legale a supporto degli Organi di Vertice dell'Universit√† degli Studi del Sannio, per un periodo di dodici mesi, decorrenti dal 01 marzo 2020</t>
  </si>
  <si>
    <t>31200.0</t>
  </si>
  <si>
    <t>inizio 01/03/2020</t>
  </si>
  <si>
    <t>24590.16</t>
  </si>
  <si>
    <t>Fornitura, in noleggio, apparecchiature multifunzione A3 a colori</t>
  </si>
  <si>
    <t>11668.8</t>
  </si>
  <si>
    <t>inizio 16/02/2020</t>
  </si>
  <si>
    <t>2333.76</t>
  </si>
  <si>
    <t>12657941006-CliniSciences srl</t>
  </si>
  <si>
    <t>466.5</t>
  </si>
  <si>
    <t>inizio 29/01/2020</t>
  </si>
  <si>
    <t>1901.91</t>
  </si>
  <si>
    <t>inizio 22/01/2020</t>
  </si>
  <si>
    <t>Fornitura di materiale informativo comprensivo del servizio di stampa e grafica per le esigenze relative allevento di Orientamento Open Day del 19 febbraio 2020</t>
  </si>
  <si>
    <t>01462840628-Tipografia Capobianco  Capobianco Vincenzo</t>
  </si>
  <si>
    <t>4050.0</t>
  </si>
  <si>
    <t>inizio 16/01/2020</t>
  </si>
  <si>
    <t>5076.0</t>
  </si>
  <si>
    <t>inizio 01/12/2019</t>
  </si>
  <si>
    <t>Servizio di manutenzione degli impianti elevatori a servizio dei vari plessi universitari, per il periodo compreso tra il 1¬∞ ottobre 2019 e il 30 settembre 2022</t>
  </si>
  <si>
    <t>01458160627-SO.CO.IM. S.R.L.,00082150624-V.I.M.A.B. S.r.l.,00610790628-MOLINARO S.R.L.,01243290622-C.E.M. s.r.l. - Costruzioni Elettriche Molinaro,01481220620-CEIMA ASCENSORI SRL ,00936980622-DATI S.R.L.,00182080622-EL.TO. S.R.L.,01503120626-MATERA AGN SRL,PLZNRC63P18A696K-PAOLOZZA ENRICO,01543790628-TECNOIMPIANTI S.A.S. DI ZAMPELLI CARMINE &amp; C.</t>
  </si>
  <si>
    <t>00936980622-DATI S.R.L.</t>
  </si>
  <si>
    <t>34475.54</t>
  </si>
  <si>
    <t>inizio 01/10/2019, ultimazione 30/09/2022</t>
  </si>
  <si>
    <t>10754.92</t>
  </si>
  <si>
    <t>Servizio per la gestione del sistema informatizzato per la rilevazione delle presenze dal 1¬∞ gennaio 2019 al 31 dicembre 2023, in modalit√† PaaS</t>
  </si>
  <si>
    <t>22250.0</t>
  </si>
  <si>
    <t>inizio 01/01/2019, ultimazione 31/12/2023</t>
  </si>
  <si>
    <t>17799.84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</si>
</sst>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
    <xf numFmtId="0" fontId="0" fillId="0" borderId="0" xfId="0"/>
  </cellXfs>
  <cellStyles count="42">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83"/>
  <sheetViews>
    <sheetView tabSelected="1" topLeftCell="A142" workbookViewId="0"/>
  </sheetViews>
  <sheetFormatPr defaultColWidth="11" defaultRowHeight="15.75" x14ac:dyDescent="0.25"/>
  <cols>
    <col min="1" max="1" width="11.875" bestFit="1" customWidth="1"/>
    <col min="2" max="2" width="31.25" bestFit="1" customWidth="1"/>
    <col min="3" max="3" width="255.625" bestFit="1" customWidth="1"/>
  </cols>
  <sheetData>
    <row r="1" spans="1:9" x14ac:dyDescent="0.25">
      <c r="A1" t="s">
        <v>0</v>
      </c>
      <c r="B1" t="s">
        <v>1</v>
      </c>
      <c r="C1" t="s">
        <v>2</v>
      </c>
      <c r="D1" t="s">
        <v>3</v>
      </c>
      <c r="E1" t="s">
        <v>4</v>
      </c>
      <c r="F1" t="s">
        <v>5</v>
      </c>
      <c r="G1" t="s">
        <v>6</v>
      </c>
      <c r="H1" t="s">
        <v>7</v>
      </c>
      <c r="I1" t="s">
        <v>8</v>
      </c>
    </row>
    <row r="2" spans="1:9" x14ac:dyDescent="0.25">
      <c r="A2" t="str">
        <f>"8758321B1F"</f>
        <v>8758321B1F</v>
      </c>
      <c r="B2" t="s">
        <v>9</v>
      </c>
      <c r="C2" t="s">
        <v>10</v>
      </c>
      <c r="D2" t="s">
        <v>11</v>
      </c>
      <c r="E2" t="s">
        <v>12</v>
      </c>
      <c r="F2" t="s">
        <v>12</v>
      </c>
      <c r="G2" t="s">
        <v>13</v>
      </c>
    </row>
    <row r="3" spans="1:9" x14ac:dyDescent="0.25">
      <c r="A3" t="str">
        <f>"9382711A0D"</f>
        <v>9382711A0D</v>
      </c>
      <c r="B3" t="s">
        <v>9</v>
      </c>
      <c r="C3" t="s">
        <v>14</v>
      </c>
      <c r="D3" t="s">
        <v>15</v>
      </c>
      <c r="E3" t="s">
        <v>16</v>
      </c>
      <c r="F3" t="s">
        <v>17</v>
      </c>
      <c r="G3" t="s">
        <v>18</v>
      </c>
    </row>
    <row r="4" spans="1:9" x14ac:dyDescent="0.25">
      <c r="A4" t="str">
        <f>"0000000000"</f>
        <v>0000000000</v>
      </c>
      <c r="B4" t="s">
        <v>9</v>
      </c>
      <c r="C4" t="s">
        <v>19</v>
      </c>
      <c r="D4" t="s">
        <v>20</v>
      </c>
      <c r="E4" t="s">
        <v>21</v>
      </c>
      <c r="F4" t="s">
        <v>21</v>
      </c>
      <c r="G4" t="s">
        <v>22</v>
      </c>
    </row>
    <row r="5" spans="1:9" x14ac:dyDescent="0.25">
      <c r="A5" t="str">
        <f>"8682750FF4"</f>
        <v>8682750FF4</v>
      </c>
      <c r="B5" t="s">
        <v>9</v>
      </c>
      <c r="C5" t="s">
        <v>23</v>
      </c>
      <c r="D5" t="s">
        <v>24</v>
      </c>
      <c r="E5" t="s">
        <v>25</v>
      </c>
      <c r="F5" t="s">
        <v>26</v>
      </c>
      <c r="G5" t="s">
        <v>27</v>
      </c>
    </row>
    <row r="6" spans="1:9" x14ac:dyDescent="0.25">
      <c r="A6" t="str">
        <f>"8129697631"</f>
        <v>8129697631</v>
      </c>
      <c r="B6" t="s">
        <v>9</v>
      </c>
      <c r="C6" t="s">
        <v>28</v>
      </c>
      <c r="D6" t="s">
        <v>11</v>
      </c>
    </row>
    <row r="7" spans="1:9" x14ac:dyDescent="0.25">
      <c r="A7" t="str">
        <f>"9288699CE4"</f>
        <v>9288699CE4</v>
      </c>
      <c r="B7" t="s">
        <v>9</v>
      </c>
      <c r="C7" t="s">
        <v>29</v>
      </c>
      <c r="D7" t="s">
        <v>30</v>
      </c>
    </row>
    <row r="8" spans="1:9" x14ac:dyDescent="0.25">
      <c r="A8" t="str">
        <f>"9322006AB3"</f>
        <v>9322006AB3</v>
      </c>
      <c r="B8" t="s">
        <v>9</v>
      </c>
      <c r="C8" t="s">
        <v>31</v>
      </c>
      <c r="D8" t="s">
        <v>30</v>
      </c>
    </row>
    <row r="9" spans="1:9" x14ac:dyDescent="0.25">
      <c r="A9" t="str">
        <f>"9454901F1E"</f>
        <v>9454901F1E</v>
      </c>
      <c r="B9" t="s">
        <v>9</v>
      </c>
      <c r="C9" t="s">
        <v>32</v>
      </c>
      <c r="D9" t="s">
        <v>11</v>
      </c>
      <c r="E9" t="s">
        <v>33</v>
      </c>
      <c r="F9" t="s">
        <v>33</v>
      </c>
      <c r="G9" t="s">
        <v>34</v>
      </c>
    </row>
    <row r="10" spans="1:9" x14ac:dyDescent="0.25">
      <c r="A10" t="str">
        <f>"9291279DF9"</f>
        <v>9291279DF9</v>
      </c>
      <c r="B10" t="s">
        <v>9</v>
      </c>
      <c r="C10" t="s">
        <v>35</v>
      </c>
      <c r="D10" t="s">
        <v>30</v>
      </c>
      <c r="E10" t="s">
        <v>36</v>
      </c>
      <c r="F10" t="s">
        <v>36</v>
      </c>
      <c r="G10" t="s">
        <v>37</v>
      </c>
    </row>
    <row r="11" spans="1:9" x14ac:dyDescent="0.25">
      <c r="A11" t="str">
        <f>"95286445C7"</f>
        <v>95286445C7</v>
      </c>
      <c r="B11" t="s">
        <v>9</v>
      </c>
      <c r="C11" t="s">
        <v>38</v>
      </c>
      <c r="D11" t="s">
        <v>30</v>
      </c>
      <c r="E11" t="s">
        <v>39</v>
      </c>
      <c r="F11" t="s">
        <v>39</v>
      </c>
      <c r="G11" t="s">
        <v>40</v>
      </c>
    </row>
    <row r="12" spans="1:9" x14ac:dyDescent="0.25">
      <c r="A12" t="str">
        <f>"9483030BE8"</f>
        <v>9483030BE8</v>
      </c>
      <c r="B12" t="s">
        <v>9</v>
      </c>
      <c r="C12" t="s">
        <v>41</v>
      </c>
      <c r="D12" t="s">
        <v>30</v>
      </c>
      <c r="E12" t="s">
        <v>42</v>
      </c>
      <c r="F12" t="s">
        <v>42</v>
      </c>
      <c r="G12" t="s">
        <v>43</v>
      </c>
    </row>
    <row r="13" spans="1:9" x14ac:dyDescent="0.25">
      <c r="A13" t="str">
        <f>"95079386A5"</f>
        <v>95079386A5</v>
      </c>
      <c r="B13" t="s">
        <v>9</v>
      </c>
      <c r="C13" t="s">
        <v>44</v>
      </c>
      <c r="D13" t="s">
        <v>30</v>
      </c>
      <c r="E13" t="s">
        <v>45</v>
      </c>
      <c r="F13" t="s">
        <v>45</v>
      </c>
      <c r="G13" t="s">
        <v>46</v>
      </c>
    </row>
    <row r="14" spans="1:9" x14ac:dyDescent="0.25">
      <c r="A14" t="str">
        <f>"955929649C"</f>
        <v>955929649C</v>
      </c>
      <c r="B14" t="s">
        <v>9</v>
      </c>
      <c r="C14" t="s">
        <v>47</v>
      </c>
      <c r="D14" t="s">
        <v>30</v>
      </c>
      <c r="E14" t="s">
        <v>48</v>
      </c>
      <c r="F14" t="s">
        <v>48</v>
      </c>
      <c r="G14" t="s">
        <v>49</v>
      </c>
    </row>
    <row r="15" spans="1:9" x14ac:dyDescent="0.25">
      <c r="A15" t="str">
        <f>"9279937E42"</f>
        <v>9279937E42</v>
      </c>
      <c r="B15" t="s">
        <v>9</v>
      </c>
      <c r="C15" t="s">
        <v>50</v>
      </c>
      <c r="D15" t="s">
        <v>11</v>
      </c>
    </row>
    <row r="16" spans="1:9" x14ac:dyDescent="0.25">
      <c r="A16" t="str">
        <f>"9205033987"</f>
        <v>9205033987</v>
      </c>
      <c r="B16" t="s">
        <v>9</v>
      </c>
      <c r="C16" t="s">
        <v>51</v>
      </c>
      <c r="D16" t="s">
        <v>30</v>
      </c>
      <c r="E16" t="s">
        <v>52</v>
      </c>
      <c r="F16" t="s">
        <v>52</v>
      </c>
      <c r="G16" t="s">
        <v>53</v>
      </c>
    </row>
    <row r="17" spans="1:9" x14ac:dyDescent="0.25">
      <c r="A17" t="str">
        <f>"9230496E41"</f>
        <v>9230496E41</v>
      </c>
      <c r="B17" t="s">
        <v>9</v>
      </c>
      <c r="C17" t="s">
        <v>54</v>
      </c>
      <c r="D17" t="s">
        <v>11</v>
      </c>
      <c r="E17" t="s">
        <v>55</v>
      </c>
      <c r="F17" t="s">
        <v>55</v>
      </c>
      <c r="G17" t="s">
        <v>56</v>
      </c>
      <c r="I17" t="s">
        <v>57</v>
      </c>
    </row>
    <row r="18" spans="1:9" x14ac:dyDescent="0.25">
      <c r="A18" t="str">
        <f>"9273925D00"</f>
        <v>9273925D00</v>
      </c>
      <c r="B18" t="s">
        <v>9</v>
      </c>
      <c r="C18" t="s">
        <v>58</v>
      </c>
      <c r="D18" t="s">
        <v>30</v>
      </c>
    </row>
    <row r="19" spans="1:9" x14ac:dyDescent="0.25">
      <c r="A19" t="str">
        <f>"Z712EF7FB8"</f>
        <v>Z712EF7FB8</v>
      </c>
      <c r="B19" t="s">
        <v>9</v>
      </c>
      <c r="C19" t="s">
        <v>59</v>
      </c>
      <c r="D19" t="s">
        <v>11</v>
      </c>
      <c r="E19" t="s">
        <v>60</v>
      </c>
      <c r="F19" t="s">
        <v>60</v>
      </c>
      <c r="G19" t="s">
        <v>61</v>
      </c>
    </row>
    <row r="20" spans="1:9" x14ac:dyDescent="0.25">
      <c r="A20" t="str">
        <f>"948262802E"</f>
        <v>948262802E</v>
      </c>
      <c r="B20" t="s">
        <v>9</v>
      </c>
      <c r="C20" t="s">
        <v>62</v>
      </c>
      <c r="D20" t="s">
        <v>11</v>
      </c>
      <c r="E20" t="s">
        <v>63</v>
      </c>
      <c r="F20" t="s">
        <v>63</v>
      </c>
      <c r="G20" t="s">
        <v>64</v>
      </c>
    </row>
    <row r="21" spans="1:9" x14ac:dyDescent="0.25">
      <c r="A21" t="str">
        <f>"928872525C"</f>
        <v>928872525C</v>
      </c>
      <c r="B21" t="s">
        <v>9</v>
      </c>
      <c r="C21" t="s">
        <v>65</v>
      </c>
      <c r="D21" t="s">
        <v>30</v>
      </c>
    </row>
    <row r="22" spans="1:9" x14ac:dyDescent="0.25">
      <c r="A22" t="str">
        <f>"91296498AF"</f>
        <v>91296498AF</v>
      </c>
      <c r="B22" t="s">
        <v>9</v>
      </c>
      <c r="C22" t="s">
        <v>66</v>
      </c>
      <c r="D22" t="s">
        <v>30</v>
      </c>
      <c r="E22" t="s">
        <v>67</v>
      </c>
      <c r="F22" t="s">
        <v>67</v>
      </c>
      <c r="G22" t="s">
        <v>68</v>
      </c>
    </row>
    <row r="23" spans="1:9" x14ac:dyDescent="0.25">
      <c r="A23" t="str">
        <f>"9306836407"</f>
        <v>9306836407</v>
      </c>
      <c r="B23" t="s">
        <v>9</v>
      </c>
      <c r="C23" t="s">
        <v>69</v>
      </c>
      <c r="D23" t="s">
        <v>11</v>
      </c>
    </row>
    <row r="24" spans="1:9" x14ac:dyDescent="0.25">
      <c r="A24" t="str">
        <f>"9281060CFD"</f>
        <v>9281060CFD</v>
      </c>
      <c r="B24" t="s">
        <v>9</v>
      </c>
      <c r="C24" t="s">
        <v>70</v>
      </c>
      <c r="D24" t="s">
        <v>30</v>
      </c>
    </row>
    <row r="25" spans="1:9" x14ac:dyDescent="0.25">
      <c r="A25" t="str">
        <f>"9485151239"</f>
        <v>9485151239</v>
      </c>
      <c r="B25" t="s">
        <v>9</v>
      </c>
      <c r="C25" t="s">
        <v>71</v>
      </c>
      <c r="D25" t="s">
        <v>11</v>
      </c>
      <c r="E25" t="s">
        <v>72</v>
      </c>
      <c r="F25" t="s">
        <v>72</v>
      </c>
      <c r="G25" t="s">
        <v>73</v>
      </c>
    </row>
    <row r="26" spans="1:9" x14ac:dyDescent="0.25">
      <c r="A26" t="str">
        <f>"885151339A"</f>
        <v>885151339A</v>
      </c>
      <c r="B26" t="s">
        <v>9</v>
      </c>
      <c r="C26" t="s">
        <v>74</v>
      </c>
      <c r="D26" t="s">
        <v>11</v>
      </c>
      <c r="E26" t="s">
        <v>75</v>
      </c>
      <c r="F26" t="s">
        <v>75</v>
      </c>
      <c r="G26" t="s">
        <v>76</v>
      </c>
    </row>
    <row r="27" spans="1:9" x14ac:dyDescent="0.25">
      <c r="A27" t="str">
        <f>"9250460913"</f>
        <v>9250460913</v>
      </c>
      <c r="B27" t="s">
        <v>9</v>
      </c>
      <c r="C27" t="s">
        <v>77</v>
      </c>
      <c r="D27" t="s">
        <v>11</v>
      </c>
      <c r="E27" t="s">
        <v>63</v>
      </c>
      <c r="F27" t="s">
        <v>63</v>
      </c>
      <c r="G27" t="s">
        <v>78</v>
      </c>
    </row>
    <row r="28" spans="1:9" x14ac:dyDescent="0.25">
      <c r="A28" t="str">
        <f>"9245692A65"</f>
        <v>9245692A65</v>
      </c>
      <c r="B28" t="s">
        <v>9</v>
      </c>
      <c r="C28" t="s">
        <v>79</v>
      </c>
      <c r="D28" t="s">
        <v>30</v>
      </c>
    </row>
    <row r="29" spans="1:9" x14ac:dyDescent="0.25">
      <c r="A29" t="str">
        <f>"90827201A8"</f>
        <v>90827201A8</v>
      </c>
      <c r="B29" t="s">
        <v>9</v>
      </c>
      <c r="C29" t="s">
        <v>80</v>
      </c>
      <c r="D29" t="s">
        <v>30</v>
      </c>
      <c r="E29" t="s">
        <v>81</v>
      </c>
      <c r="F29" t="s">
        <v>81</v>
      </c>
      <c r="G29" t="s">
        <v>82</v>
      </c>
    </row>
    <row r="30" spans="1:9" x14ac:dyDescent="0.25">
      <c r="A30" t="str">
        <f>"9082681179"</f>
        <v>9082681179</v>
      </c>
      <c r="B30" t="s">
        <v>9</v>
      </c>
      <c r="C30" t="s">
        <v>83</v>
      </c>
      <c r="D30" t="s">
        <v>30</v>
      </c>
      <c r="E30" t="s">
        <v>67</v>
      </c>
      <c r="F30" t="s">
        <v>67</v>
      </c>
      <c r="G30" t="s">
        <v>84</v>
      </c>
    </row>
    <row r="31" spans="1:9" x14ac:dyDescent="0.25">
      <c r="A31" t="str">
        <f>"ZCB2D66C56"</f>
        <v>ZCB2D66C56</v>
      </c>
      <c r="B31" t="s">
        <v>9</v>
      </c>
      <c r="C31" t="s">
        <v>85</v>
      </c>
      <c r="D31" t="s">
        <v>11</v>
      </c>
      <c r="E31" t="s">
        <v>21</v>
      </c>
      <c r="F31" t="s">
        <v>21</v>
      </c>
      <c r="G31" t="s">
        <v>86</v>
      </c>
    </row>
    <row r="32" spans="1:9" x14ac:dyDescent="0.25">
      <c r="A32" t="str">
        <f>"9167886ADA"</f>
        <v>9167886ADA</v>
      </c>
      <c r="B32" t="s">
        <v>9</v>
      </c>
      <c r="C32" t="s">
        <v>87</v>
      </c>
      <c r="D32" t="s">
        <v>30</v>
      </c>
      <c r="E32" t="s">
        <v>52</v>
      </c>
      <c r="F32" t="s">
        <v>52</v>
      </c>
      <c r="G32" t="s">
        <v>88</v>
      </c>
    </row>
    <row r="33" spans="1:7" x14ac:dyDescent="0.25">
      <c r="A33" t="str">
        <f>"9486163559"</f>
        <v>9486163559</v>
      </c>
      <c r="B33" t="s">
        <v>9</v>
      </c>
      <c r="C33" t="s">
        <v>89</v>
      </c>
      <c r="D33" t="s">
        <v>11</v>
      </c>
      <c r="E33" t="s">
        <v>33</v>
      </c>
      <c r="F33" t="s">
        <v>33</v>
      </c>
      <c r="G33" t="s">
        <v>90</v>
      </c>
    </row>
    <row r="34" spans="1:7" x14ac:dyDescent="0.25">
      <c r="A34" t="str">
        <f>"94175518EE"</f>
        <v>94175518EE</v>
      </c>
      <c r="B34" t="s">
        <v>9</v>
      </c>
      <c r="C34" t="s">
        <v>91</v>
      </c>
      <c r="D34" t="s">
        <v>30</v>
      </c>
    </row>
    <row r="35" spans="1:7" x14ac:dyDescent="0.25">
      <c r="A35" t="str">
        <f>"9431572B6C"</f>
        <v>9431572B6C</v>
      </c>
      <c r="B35" t="s">
        <v>9</v>
      </c>
      <c r="C35" t="s">
        <v>92</v>
      </c>
      <c r="D35" t="s">
        <v>11</v>
      </c>
      <c r="E35" t="s">
        <v>75</v>
      </c>
      <c r="F35" t="s">
        <v>75</v>
      </c>
      <c r="G35" t="s">
        <v>93</v>
      </c>
    </row>
    <row r="36" spans="1:7" x14ac:dyDescent="0.25">
      <c r="A36" t="str">
        <f>"9311045567"</f>
        <v>9311045567</v>
      </c>
      <c r="B36" t="s">
        <v>9</v>
      </c>
      <c r="C36" t="s">
        <v>94</v>
      </c>
      <c r="D36" t="s">
        <v>11</v>
      </c>
    </row>
    <row r="37" spans="1:7" x14ac:dyDescent="0.25">
      <c r="A37" t="str">
        <f>"95303326C2"</f>
        <v>95303326C2</v>
      </c>
      <c r="B37" t="s">
        <v>9</v>
      </c>
      <c r="C37" t="s">
        <v>95</v>
      </c>
      <c r="D37" t="s">
        <v>30</v>
      </c>
      <c r="E37" t="s">
        <v>96</v>
      </c>
      <c r="F37" t="s">
        <v>96</v>
      </c>
      <c r="G37" t="s">
        <v>97</v>
      </c>
    </row>
    <row r="38" spans="1:7" x14ac:dyDescent="0.25">
      <c r="A38" t="str">
        <f>"95316251C8"</f>
        <v>95316251C8</v>
      </c>
      <c r="B38" t="s">
        <v>9</v>
      </c>
      <c r="C38" t="s">
        <v>98</v>
      </c>
      <c r="D38" t="s">
        <v>11</v>
      </c>
      <c r="E38" t="s">
        <v>75</v>
      </c>
      <c r="F38" t="s">
        <v>75</v>
      </c>
      <c r="G38" t="s">
        <v>99</v>
      </c>
    </row>
    <row r="39" spans="1:7" x14ac:dyDescent="0.25">
      <c r="A39" t="str">
        <f>"9460928CC2"</f>
        <v>9460928CC2</v>
      </c>
      <c r="B39" t="s">
        <v>9</v>
      </c>
      <c r="C39" t="s">
        <v>100</v>
      </c>
      <c r="D39" t="s">
        <v>11</v>
      </c>
      <c r="E39" t="s">
        <v>101</v>
      </c>
      <c r="F39" t="s">
        <v>101</v>
      </c>
      <c r="G39" t="s">
        <v>102</v>
      </c>
    </row>
    <row r="40" spans="1:7" x14ac:dyDescent="0.25">
      <c r="A40" t="str">
        <f>"8997715D4C"</f>
        <v>8997715D4C</v>
      </c>
      <c r="B40" t="s">
        <v>9</v>
      </c>
      <c r="C40" t="s">
        <v>77</v>
      </c>
      <c r="D40" t="s">
        <v>11</v>
      </c>
      <c r="E40" t="s">
        <v>63</v>
      </c>
      <c r="F40" t="s">
        <v>63</v>
      </c>
      <c r="G40" t="s">
        <v>103</v>
      </c>
    </row>
    <row r="41" spans="1:7" x14ac:dyDescent="0.25">
      <c r="A41" t="str">
        <f>"9038738A8D"</f>
        <v>9038738A8D</v>
      </c>
      <c r="B41" t="s">
        <v>9</v>
      </c>
      <c r="C41" t="s">
        <v>104</v>
      </c>
      <c r="D41" t="s">
        <v>11</v>
      </c>
      <c r="E41" t="s">
        <v>12</v>
      </c>
      <c r="F41" t="s">
        <v>12</v>
      </c>
      <c r="G41" t="s">
        <v>105</v>
      </c>
    </row>
    <row r="42" spans="1:7" x14ac:dyDescent="0.25">
      <c r="A42" t="str">
        <f>"935844404D"</f>
        <v>935844404D</v>
      </c>
      <c r="B42" t="s">
        <v>9</v>
      </c>
      <c r="C42" t="s">
        <v>106</v>
      </c>
      <c r="D42" t="s">
        <v>30</v>
      </c>
    </row>
    <row r="43" spans="1:7" x14ac:dyDescent="0.25">
      <c r="A43" t="str">
        <f>"9456336F51"</f>
        <v>9456336F51</v>
      </c>
      <c r="B43" t="s">
        <v>9</v>
      </c>
      <c r="C43" t="s">
        <v>107</v>
      </c>
      <c r="D43" t="s">
        <v>11</v>
      </c>
      <c r="E43" t="s">
        <v>96</v>
      </c>
      <c r="F43" t="s">
        <v>96</v>
      </c>
      <c r="G43" t="s">
        <v>108</v>
      </c>
    </row>
    <row r="44" spans="1:7" x14ac:dyDescent="0.25">
      <c r="A44" t="str">
        <f>"908493230E"</f>
        <v>908493230E</v>
      </c>
      <c r="B44" t="s">
        <v>9</v>
      </c>
      <c r="C44" t="s">
        <v>109</v>
      </c>
      <c r="D44" t="s">
        <v>30</v>
      </c>
      <c r="E44" t="s">
        <v>110</v>
      </c>
      <c r="F44" t="s">
        <v>110</v>
      </c>
      <c r="G44" t="s">
        <v>111</v>
      </c>
    </row>
    <row r="45" spans="1:7" x14ac:dyDescent="0.25">
      <c r="A45" t="str">
        <f>"92789152E4"</f>
        <v>92789152E4</v>
      </c>
      <c r="B45" t="s">
        <v>9</v>
      </c>
      <c r="C45" t="s">
        <v>112</v>
      </c>
      <c r="D45" t="s">
        <v>30</v>
      </c>
      <c r="E45" t="s">
        <v>113</v>
      </c>
      <c r="F45" t="s">
        <v>113</v>
      </c>
      <c r="G45" t="s">
        <v>114</v>
      </c>
    </row>
    <row r="46" spans="1:7" x14ac:dyDescent="0.25">
      <c r="A46" t="str">
        <f>"8772534C0F"</f>
        <v>8772534C0F</v>
      </c>
      <c r="B46" t="s">
        <v>9</v>
      </c>
      <c r="C46" t="s">
        <v>115</v>
      </c>
      <c r="D46" t="s">
        <v>11</v>
      </c>
      <c r="E46" t="s">
        <v>75</v>
      </c>
      <c r="F46" t="s">
        <v>75</v>
      </c>
      <c r="G46" t="s">
        <v>116</v>
      </c>
    </row>
    <row r="47" spans="1:7" x14ac:dyDescent="0.25">
      <c r="A47" t="str">
        <f>"91103388BE"</f>
        <v>91103388BE</v>
      </c>
      <c r="B47" t="s">
        <v>9</v>
      </c>
      <c r="C47" t="s">
        <v>117</v>
      </c>
      <c r="D47" t="s">
        <v>30</v>
      </c>
      <c r="E47" t="s">
        <v>118</v>
      </c>
      <c r="F47" t="s">
        <v>118</v>
      </c>
      <c r="G47" t="s">
        <v>119</v>
      </c>
    </row>
    <row r="48" spans="1:7" x14ac:dyDescent="0.25">
      <c r="A48" t="str">
        <f>"94940680C4"</f>
        <v>94940680C4</v>
      </c>
      <c r="B48" t="s">
        <v>9</v>
      </c>
      <c r="C48" t="s">
        <v>120</v>
      </c>
      <c r="D48" t="s">
        <v>11</v>
      </c>
      <c r="E48" t="s">
        <v>33</v>
      </c>
      <c r="F48" t="s">
        <v>33</v>
      </c>
      <c r="G48" t="s">
        <v>121</v>
      </c>
    </row>
    <row r="49" spans="1:7" x14ac:dyDescent="0.25">
      <c r="A49" t="str">
        <f>"95447733DA"</f>
        <v>95447733DA</v>
      </c>
      <c r="B49" t="s">
        <v>9</v>
      </c>
      <c r="C49" t="s">
        <v>122</v>
      </c>
      <c r="D49" t="s">
        <v>11</v>
      </c>
      <c r="E49" t="s">
        <v>123</v>
      </c>
      <c r="F49" t="s">
        <v>123</v>
      </c>
      <c r="G49" t="s">
        <v>124</v>
      </c>
    </row>
    <row r="50" spans="1:7" x14ac:dyDescent="0.25">
      <c r="A50" t="str">
        <f>"9239818B04"</f>
        <v>9239818B04</v>
      </c>
      <c r="B50" t="s">
        <v>9</v>
      </c>
      <c r="C50" t="s">
        <v>125</v>
      </c>
      <c r="D50" t="s">
        <v>11</v>
      </c>
    </row>
    <row r="51" spans="1:7" x14ac:dyDescent="0.25">
      <c r="A51" t="str">
        <f>"8970967429"</f>
        <v>8970967429</v>
      </c>
      <c r="B51" t="s">
        <v>9</v>
      </c>
      <c r="C51" t="s">
        <v>126</v>
      </c>
      <c r="D51" t="s">
        <v>30</v>
      </c>
    </row>
    <row r="52" spans="1:7" x14ac:dyDescent="0.25">
      <c r="A52" t="str">
        <f>"8896669383"</f>
        <v>8896669383</v>
      </c>
      <c r="B52" t="s">
        <v>9</v>
      </c>
      <c r="C52" t="s">
        <v>127</v>
      </c>
      <c r="D52" t="s">
        <v>30</v>
      </c>
      <c r="E52" t="s">
        <v>128</v>
      </c>
      <c r="F52" t="s">
        <v>128</v>
      </c>
      <c r="G52" t="s">
        <v>129</v>
      </c>
    </row>
    <row r="53" spans="1:7" x14ac:dyDescent="0.25">
      <c r="A53" t="str">
        <f>"8652929EE3"</f>
        <v>8652929EE3</v>
      </c>
      <c r="B53" t="s">
        <v>9</v>
      </c>
      <c r="C53" t="s">
        <v>130</v>
      </c>
      <c r="D53" t="s">
        <v>30</v>
      </c>
      <c r="E53" t="s">
        <v>131</v>
      </c>
      <c r="F53" t="s">
        <v>131</v>
      </c>
      <c r="G53" t="s">
        <v>132</v>
      </c>
    </row>
    <row r="54" spans="1:7" x14ac:dyDescent="0.25">
      <c r="A54" t="str">
        <f>"9238226942"</f>
        <v>9238226942</v>
      </c>
      <c r="B54" t="s">
        <v>9</v>
      </c>
      <c r="C54" t="s">
        <v>133</v>
      </c>
      <c r="D54" t="s">
        <v>11</v>
      </c>
    </row>
    <row r="55" spans="1:7" x14ac:dyDescent="0.25">
      <c r="A55" t="str">
        <f>"87115831B7"</f>
        <v>87115831B7</v>
      </c>
      <c r="B55" t="s">
        <v>9</v>
      </c>
      <c r="C55" t="s">
        <v>134</v>
      </c>
      <c r="D55" t="s">
        <v>30</v>
      </c>
      <c r="E55" t="s">
        <v>135</v>
      </c>
      <c r="F55" t="s">
        <v>135</v>
      </c>
      <c r="G55" t="s">
        <v>136</v>
      </c>
    </row>
    <row r="56" spans="1:7" x14ac:dyDescent="0.25">
      <c r="A56" t="str">
        <f>"9145087C85"</f>
        <v>9145087C85</v>
      </c>
      <c r="B56" t="s">
        <v>9</v>
      </c>
      <c r="C56" t="s">
        <v>98</v>
      </c>
      <c r="D56" t="s">
        <v>11</v>
      </c>
      <c r="E56" t="s">
        <v>75</v>
      </c>
      <c r="F56" t="s">
        <v>75</v>
      </c>
      <c r="G56" t="s">
        <v>137</v>
      </c>
    </row>
    <row r="57" spans="1:7" x14ac:dyDescent="0.25">
      <c r="A57" t="str">
        <f>"8619329F4A"</f>
        <v>8619329F4A</v>
      </c>
      <c r="B57" t="s">
        <v>9</v>
      </c>
      <c r="C57" t="s">
        <v>138</v>
      </c>
      <c r="D57" t="s">
        <v>30</v>
      </c>
      <c r="E57" t="s">
        <v>139</v>
      </c>
      <c r="F57" t="s">
        <v>139</v>
      </c>
      <c r="G57" t="s">
        <v>140</v>
      </c>
    </row>
    <row r="58" spans="1:7" x14ac:dyDescent="0.25">
      <c r="A58" t="str">
        <f>"9461812644"</f>
        <v>9461812644</v>
      </c>
      <c r="B58" t="s">
        <v>9</v>
      </c>
      <c r="C58" t="s">
        <v>141</v>
      </c>
      <c r="D58" t="s">
        <v>11</v>
      </c>
      <c r="E58" t="s">
        <v>142</v>
      </c>
      <c r="F58" t="s">
        <v>142</v>
      </c>
      <c r="G58" t="s">
        <v>143</v>
      </c>
    </row>
    <row r="59" spans="1:7" x14ac:dyDescent="0.25">
      <c r="A59" t="str">
        <f>"881093231A"</f>
        <v>881093231A</v>
      </c>
      <c r="B59" t="s">
        <v>9</v>
      </c>
      <c r="C59" t="s">
        <v>144</v>
      </c>
      <c r="D59" t="s">
        <v>30</v>
      </c>
      <c r="E59" t="s">
        <v>145</v>
      </c>
      <c r="F59" t="s">
        <v>145</v>
      </c>
      <c r="G59" t="s">
        <v>146</v>
      </c>
    </row>
    <row r="60" spans="1:7" x14ac:dyDescent="0.25">
      <c r="A60" t="str">
        <f>"9270879B5D"</f>
        <v>9270879B5D</v>
      </c>
      <c r="B60" t="s">
        <v>9</v>
      </c>
      <c r="C60" t="s">
        <v>147</v>
      </c>
      <c r="D60" t="s">
        <v>11</v>
      </c>
    </row>
    <row r="61" spans="1:7" x14ac:dyDescent="0.25">
      <c r="A61" t="str">
        <f>"8708508823"</f>
        <v>8708508823</v>
      </c>
      <c r="B61" t="s">
        <v>9</v>
      </c>
      <c r="C61" t="s">
        <v>148</v>
      </c>
      <c r="D61" t="s">
        <v>30</v>
      </c>
    </row>
    <row r="62" spans="1:7" x14ac:dyDescent="0.25">
      <c r="A62" t="str">
        <f>"870852020C"</f>
        <v>870852020C</v>
      </c>
      <c r="B62" t="s">
        <v>9</v>
      </c>
      <c r="C62" t="s">
        <v>149</v>
      </c>
      <c r="D62" t="s">
        <v>30</v>
      </c>
    </row>
    <row r="63" spans="1:7" x14ac:dyDescent="0.25">
      <c r="A63" t="str">
        <f>"9432852BB6"</f>
        <v>9432852BB6</v>
      </c>
      <c r="B63" t="s">
        <v>9</v>
      </c>
      <c r="C63" t="s">
        <v>150</v>
      </c>
      <c r="D63" t="s">
        <v>11</v>
      </c>
      <c r="E63" t="s">
        <v>63</v>
      </c>
      <c r="F63" t="s">
        <v>63</v>
      </c>
      <c r="G63" t="s">
        <v>108</v>
      </c>
    </row>
    <row r="64" spans="1:7" x14ac:dyDescent="0.25">
      <c r="A64" t="str">
        <f>"8687057238"</f>
        <v>8687057238</v>
      </c>
      <c r="B64" t="s">
        <v>9</v>
      </c>
      <c r="C64" t="s">
        <v>151</v>
      </c>
      <c r="D64" t="s">
        <v>30</v>
      </c>
      <c r="E64" t="s">
        <v>152</v>
      </c>
      <c r="F64" t="s">
        <v>152</v>
      </c>
      <c r="G64" t="s">
        <v>153</v>
      </c>
    </row>
    <row r="65" spans="1:7" x14ac:dyDescent="0.25">
      <c r="A65" t="str">
        <f>"9239955C12"</f>
        <v>9239955C12</v>
      </c>
      <c r="B65" t="s">
        <v>9</v>
      </c>
      <c r="C65" t="s">
        <v>154</v>
      </c>
      <c r="D65" t="s">
        <v>11</v>
      </c>
    </row>
    <row r="66" spans="1:7" x14ac:dyDescent="0.25">
      <c r="A66" t="str">
        <f>"921235108B"</f>
        <v>921235108B</v>
      </c>
      <c r="B66" t="s">
        <v>9</v>
      </c>
      <c r="C66" t="s">
        <v>155</v>
      </c>
      <c r="D66" t="s">
        <v>11</v>
      </c>
    </row>
    <row r="67" spans="1:7" x14ac:dyDescent="0.25">
      <c r="A67" t="str">
        <f>"9601243C5C"</f>
        <v>9601243C5C</v>
      </c>
      <c r="B67" t="s">
        <v>9</v>
      </c>
      <c r="C67" t="s">
        <v>156</v>
      </c>
      <c r="D67" t="s">
        <v>11</v>
      </c>
    </row>
    <row r="68" spans="1:7" x14ac:dyDescent="0.25">
      <c r="A68" t="str">
        <f>"8954384F6C"</f>
        <v>8954384F6C</v>
      </c>
      <c r="B68" t="s">
        <v>9</v>
      </c>
      <c r="C68" t="s">
        <v>157</v>
      </c>
      <c r="D68" t="s">
        <v>30</v>
      </c>
      <c r="E68" t="s">
        <v>67</v>
      </c>
      <c r="F68" t="s">
        <v>67</v>
      </c>
      <c r="G68" t="s">
        <v>158</v>
      </c>
    </row>
    <row r="69" spans="1:7" x14ac:dyDescent="0.25">
      <c r="A69" t="str">
        <f>"9447290655"</f>
        <v>9447290655</v>
      </c>
      <c r="B69" t="s">
        <v>9</v>
      </c>
      <c r="C69" t="s">
        <v>159</v>
      </c>
      <c r="D69" t="s">
        <v>11</v>
      </c>
      <c r="E69" t="s">
        <v>160</v>
      </c>
      <c r="F69" t="s">
        <v>160</v>
      </c>
      <c r="G69" t="s">
        <v>161</v>
      </c>
    </row>
    <row r="70" spans="1:7" x14ac:dyDescent="0.25">
      <c r="A70" t="str">
        <f>"9322725C09"</f>
        <v>9322725C09</v>
      </c>
      <c r="B70" t="s">
        <v>9</v>
      </c>
      <c r="C70" t="s">
        <v>162</v>
      </c>
      <c r="D70" t="s">
        <v>30</v>
      </c>
    </row>
    <row r="71" spans="1:7" x14ac:dyDescent="0.25">
      <c r="A71" t="str">
        <f>"9296882DB7"</f>
        <v>9296882DB7</v>
      </c>
      <c r="B71" t="s">
        <v>9</v>
      </c>
      <c r="C71" t="s">
        <v>163</v>
      </c>
      <c r="D71" t="s">
        <v>30</v>
      </c>
    </row>
    <row r="72" spans="1:7" x14ac:dyDescent="0.25">
      <c r="A72" t="str">
        <f>"942453082F"</f>
        <v>942453082F</v>
      </c>
      <c r="B72" t="s">
        <v>9</v>
      </c>
      <c r="C72" t="s">
        <v>164</v>
      </c>
      <c r="D72" t="s">
        <v>30</v>
      </c>
    </row>
    <row r="73" spans="1:7" x14ac:dyDescent="0.25">
      <c r="A73" t="str">
        <f>"9245258441"</f>
        <v>9245258441</v>
      </c>
      <c r="B73" t="s">
        <v>9</v>
      </c>
      <c r="C73" t="s">
        <v>165</v>
      </c>
      <c r="D73" t="s">
        <v>30</v>
      </c>
      <c r="E73" t="s">
        <v>166</v>
      </c>
      <c r="F73" t="s">
        <v>166</v>
      </c>
      <c r="G73" t="s">
        <v>167</v>
      </c>
    </row>
    <row r="74" spans="1:7" x14ac:dyDescent="0.25">
      <c r="A74" t="str">
        <f>"9485631E51"</f>
        <v>9485631E51</v>
      </c>
      <c r="B74" t="s">
        <v>9</v>
      </c>
      <c r="C74" t="s">
        <v>168</v>
      </c>
      <c r="D74" t="s">
        <v>11</v>
      </c>
      <c r="E74" t="s">
        <v>33</v>
      </c>
      <c r="F74" t="s">
        <v>33</v>
      </c>
      <c r="G74" t="s">
        <v>169</v>
      </c>
    </row>
    <row r="75" spans="1:7" x14ac:dyDescent="0.25">
      <c r="A75" t="str">
        <f>"9410024575"</f>
        <v>9410024575</v>
      </c>
      <c r="B75" t="s">
        <v>9</v>
      </c>
      <c r="C75" t="s">
        <v>170</v>
      </c>
      <c r="D75" t="s">
        <v>11</v>
      </c>
    </row>
    <row r="76" spans="1:7" x14ac:dyDescent="0.25">
      <c r="A76" t="str">
        <f>"9239792591"</f>
        <v>9239792591</v>
      </c>
      <c r="B76" t="s">
        <v>9</v>
      </c>
      <c r="C76" t="s">
        <v>171</v>
      </c>
      <c r="D76" t="s">
        <v>11</v>
      </c>
    </row>
    <row r="77" spans="1:7" x14ac:dyDescent="0.25">
      <c r="A77" t="str">
        <f>"946433477C"</f>
        <v>946433477C</v>
      </c>
      <c r="B77" t="s">
        <v>9</v>
      </c>
      <c r="C77" t="s">
        <v>172</v>
      </c>
      <c r="D77" t="s">
        <v>30</v>
      </c>
      <c r="E77" t="s">
        <v>173</v>
      </c>
      <c r="F77" t="s">
        <v>173</v>
      </c>
      <c r="G77" t="s">
        <v>174</v>
      </c>
    </row>
    <row r="78" spans="1:7" x14ac:dyDescent="0.25">
      <c r="A78" t="str">
        <f>"94245210C4"</f>
        <v>94245210C4</v>
      </c>
      <c r="B78" t="s">
        <v>9</v>
      </c>
      <c r="C78" t="s">
        <v>175</v>
      </c>
      <c r="D78" t="s">
        <v>30</v>
      </c>
    </row>
    <row r="79" spans="1:7" x14ac:dyDescent="0.25">
      <c r="A79" t="str">
        <f>"91708519A6"</f>
        <v>91708519A6</v>
      </c>
      <c r="B79" t="s">
        <v>9</v>
      </c>
      <c r="C79" t="s">
        <v>176</v>
      </c>
      <c r="D79" t="s">
        <v>30</v>
      </c>
      <c r="E79" t="s">
        <v>177</v>
      </c>
      <c r="F79" t="s">
        <v>177</v>
      </c>
      <c r="G79" t="s">
        <v>178</v>
      </c>
    </row>
    <row r="80" spans="1:7" x14ac:dyDescent="0.25">
      <c r="A80" t="str">
        <f>"940736967B"</f>
        <v>940736967B</v>
      </c>
      <c r="B80" t="s">
        <v>9</v>
      </c>
      <c r="C80" t="s">
        <v>98</v>
      </c>
      <c r="D80" t="s">
        <v>11</v>
      </c>
      <c r="E80" t="s">
        <v>75</v>
      </c>
      <c r="F80" t="s">
        <v>75</v>
      </c>
      <c r="G80" t="s">
        <v>179</v>
      </c>
    </row>
    <row r="81" spans="1:7" x14ac:dyDescent="0.25">
      <c r="A81" t="str">
        <f>"9284292820"</f>
        <v>9284292820</v>
      </c>
      <c r="B81" t="s">
        <v>9</v>
      </c>
      <c r="C81" t="s">
        <v>180</v>
      </c>
      <c r="D81" t="s">
        <v>30</v>
      </c>
      <c r="E81" t="s">
        <v>181</v>
      </c>
      <c r="F81" t="s">
        <v>181</v>
      </c>
      <c r="G81" t="s">
        <v>182</v>
      </c>
    </row>
    <row r="82" spans="1:7" x14ac:dyDescent="0.25">
      <c r="A82" t="str">
        <f>"928864612B"</f>
        <v>928864612B</v>
      </c>
      <c r="B82" t="s">
        <v>9</v>
      </c>
      <c r="C82" t="s">
        <v>183</v>
      </c>
      <c r="D82" t="s">
        <v>11</v>
      </c>
    </row>
    <row r="83" spans="1:7" x14ac:dyDescent="0.25">
      <c r="A83" t="str">
        <f>"911669892E"</f>
        <v>911669892E</v>
      </c>
      <c r="B83" t="s">
        <v>9</v>
      </c>
      <c r="C83" t="s">
        <v>184</v>
      </c>
      <c r="D83" t="s">
        <v>11</v>
      </c>
      <c r="E83" t="s">
        <v>63</v>
      </c>
      <c r="F83" t="s">
        <v>63</v>
      </c>
      <c r="G83" t="s">
        <v>185</v>
      </c>
    </row>
    <row r="84" spans="1:7" x14ac:dyDescent="0.25">
      <c r="A84" t="str">
        <f>"Z1D2DB962C"</f>
        <v>Z1D2DB962C</v>
      </c>
      <c r="B84" t="s">
        <v>9</v>
      </c>
      <c r="C84" t="s">
        <v>41</v>
      </c>
      <c r="D84" t="s">
        <v>30</v>
      </c>
      <c r="E84" t="s">
        <v>42</v>
      </c>
      <c r="F84" t="s">
        <v>42</v>
      </c>
      <c r="G84" t="s">
        <v>186</v>
      </c>
    </row>
    <row r="85" spans="1:7" x14ac:dyDescent="0.25">
      <c r="A85" t="str">
        <f>"88464490A9"</f>
        <v>88464490A9</v>
      </c>
      <c r="B85" t="s">
        <v>9</v>
      </c>
      <c r="C85" t="s">
        <v>187</v>
      </c>
      <c r="D85" t="s">
        <v>30</v>
      </c>
      <c r="E85" t="s">
        <v>188</v>
      </c>
      <c r="F85" t="s">
        <v>188</v>
      </c>
      <c r="G85" t="s">
        <v>189</v>
      </c>
    </row>
    <row r="86" spans="1:7" x14ac:dyDescent="0.25">
      <c r="A86" t="str">
        <f>"86215052FF"</f>
        <v>86215052FF</v>
      </c>
      <c r="B86" t="s">
        <v>9</v>
      </c>
      <c r="C86" t="s">
        <v>190</v>
      </c>
      <c r="D86" t="s">
        <v>30</v>
      </c>
      <c r="E86" t="s">
        <v>191</v>
      </c>
      <c r="F86" t="s">
        <v>191</v>
      </c>
      <c r="G86" t="s">
        <v>192</v>
      </c>
    </row>
    <row r="87" spans="1:7" x14ac:dyDescent="0.25">
      <c r="A87" t="str">
        <f>"8855909F48"</f>
        <v>8855909F48</v>
      </c>
      <c r="B87" t="s">
        <v>9</v>
      </c>
      <c r="C87" t="s">
        <v>193</v>
      </c>
      <c r="D87" t="s">
        <v>30</v>
      </c>
      <c r="E87" t="s">
        <v>194</v>
      </c>
      <c r="F87" t="s">
        <v>194</v>
      </c>
      <c r="G87" t="s">
        <v>195</v>
      </c>
    </row>
    <row r="88" spans="1:7" x14ac:dyDescent="0.25">
      <c r="A88" t="str">
        <f>"94849089AF"</f>
        <v>94849089AF</v>
      </c>
      <c r="B88" t="s">
        <v>9</v>
      </c>
      <c r="C88" t="s">
        <v>196</v>
      </c>
      <c r="D88" t="s">
        <v>11</v>
      </c>
      <c r="E88" t="s">
        <v>197</v>
      </c>
      <c r="F88" t="s">
        <v>197</v>
      </c>
      <c r="G88" t="s">
        <v>198</v>
      </c>
    </row>
    <row r="89" spans="1:7" x14ac:dyDescent="0.25">
      <c r="A89" t="str">
        <f>"8646749301"</f>
        <v>8646749301</v>
      </c>
      <c r="B89" t="s">
        <v>9</v>
      </c>
      <c r="C89" t="s">
        <v>199</v>
      </c>
      <c r="D89" t="s">
        <v>30</v>
      </c>
      <c r="E89" t="s">
        <v>118</v>
      </c>
      <c r="F89" t="s">
        <v>118</v>
      </c>
      <c r="G89" t="s">
        <v>119</v>
      </c>
    </row>
    <row r="90" spans="1:7" x14ac:dyDescent="0.25">
      <c r="A90" t="str">
        <f>"8747631576"</f>
        <v>8747631576</v>
      </c>
      <c r="B90" t="s">
        <v>9</v>
      </c>
      <c r="C90" t="s">
        <v>200</v>
      </c>
      <c r="D90" t="s">
        <v>30</v>
      </c>
      <c r="E90" t="s">
        <v>201</v>
      </c>
      <c r="F90" t="s">
        <v>201</v>
      </c>
      <c r="G90" t="s">
        <v>202</v>
      </c>
    </row>
    <row r="91" spans="1:7" x14ac:dyDescent="0.25">
      <c r="A91" t="str">
        <f>"9494014433"</f>
        <v>9494014433</v>
      </c>
      <c r="B91" t="s">
        <v>9</v>
      </c>
      <c r="C91" t="s">
        <v>203</v>
      </c>
      <c r="D91" t="s">
        <v>11</v>
      </c>
      <c r="E91" t="s">
        <v>123</v>
      </c>
      <c r="F91" t="s">
        <v>123</v>
      </c>
      <c r="G91" t="s">
        <v>204</v>
      </c>
    </row>
    <row r="92" spans="1:7" x14ac:dyDescent="0.25">
      <c r="A92" t="str">
        <f>"86120432B5"</f>
        <v>86120432B5</v>
      </c>
      <c r="B92" t="s">
        <v>9</v>
      </c>
      <c r="C92" t="s">
        <v>205</v>
      </c>
      <c r="D92" t="s">
        <v>30</v>
      </c>
      <c r="E92" t="s">
        <v>206</v>
      </c>
      <c r="F92" t="s">
        <v>206</v>
      </c>
      <c r="G92" t="s">
        <v>207</v>
      </c>
    </row>
    <row r="93" spans="1:7" x14ac:dyDescent="0.25">
      <c r="A93" t="str">
        <f>"8947838581"</f>
        <v>8947838581</v>
      </c>
      <c r="B93" t="s">
        <v>9</v>
      </c>
      <c r="C93" t="s">
        <v>208</v>
      </c>
      <c r="D93" t="s">
        <v>11</v>
      </c>
      <c r="E93" t="s">
        <v>75</v>
      </c>
      <c r="F93" t="s">
        <v>75</v>
      </c>
      <c r="G93" t="s">
        <v>209</v>
      </c>
    </row>
    <row r="94" spans="1:7" x14ac:dyDescent="0.25">
      <c r="A94" t="str">
        <f>"953033051C"</f>
        <v>953033051C</v>
      </c>
      <c r="B94" t="s">
        <v>9</v>
      </c>
      <c r="C94" t="s">
        <v>210</v>
      </c>
      <c r="D94" t="s">
        <v>11</v>
      </c>
      <c r="E94" t="s">
        <v>142</v>
      </c>
      <c r="F94" t="s">
        <v>142</v>
      </c>
      <c r="G94" t="s">
        <v>211</v>
      </c>
    </row>
    <row r="95" spans="1:7" x14ac:dyDescent="0.25">
      <c r="A95" t="str">
        <f>"945295593C"</f>
        <v>945295593C</v>
      </c>
      <c r="B95" t="s">
        <v>9</v>
      </c>
      <c r="C95" t="s">
        <v>212</v>
      </c>
      <c r="D95" t="s">
        <v>11</v>
      </c>
      <c r="E95" t="s">
        <v>142</v>
      </c>
      <c r="F95" t="s">
        <v>142</v>
      </c>
      <c r="G95" t="s">
        <v>213</v>
      </c>
    </row>
    <row r="96" spans="1:7" x14ac:dyDescent="0.25">
      <c r="A96" t="str">
        <f>"9022188112"</f>
        <v>9022188112</v>
      </c>
      <c r="B96" t="s">
        <v>9</v>
      </c>
      <c r="C96" t="s">
        <v>214</v>
      </c>
      <c r="D96" t="s">
        <v>30</v>
      </c>
      <c r="E96" t="s">
        <v>215</v>
      </c>
      <c r="F96" t="s">
        <v>215</v>
      </c>
      <c r="G96" t="s">
        <v>216</v>
      </c>
    </row>
    <row r="97" spans="1:7" x14ac:dyDescent="0.25">
      <c r="A97" t="str">
        <f>"8919527288"</f>
        <v>8919527288</v>
      </c>
      <c r="B97" t="s">
        <v>9</v>
      </c>
      <c r="C97" t="s">
        <v>217</v>
      </c>
      <c r="D97" t="s">
        <v>11</v>
      </c>
      <c r="E97" t="s">
        <v>160</v>
      </c>
      <c r="F97" t="s">
        <v>160</v>
      </c>
      <c r="G97" t="s">
        <v>218</v>
      </c>
    </row>
    <row r="98" spans="1:7" x14ac:dyDescent="0.25">
      <c r="A98" t="str">
        <f>"883988470B"</f>
        <v>883988470B</v>
      </c>
      <c r="B98" t="s">
        <v>9</v>
      </c>
      <c r="C98" t="s">
        <v>219</v>
      </c>
      <c r="D98" t="s">
        <v>30</v>
      </c>
      <c r="E98" t="s">
        <v>110</v>
      </c>
      <c r="F98" t="s">
        <v>110</v>
      </c>
      <c r="G98" t="s">
        <v>220</v>
      </c>
    </row>
    <row r="99" spans="1:7" x14ac:dyDescent="0.25">
      <c r="A99" t="str">
        <f>"9482739BC4"</f>
        <v>9482739BC4</v>
      </c>
      <c r="B99" t="s">
        <v>9</v>
      </c>
      <c r="C99" t="s">
        <v>221</v>
      </c>
      <c r="D99" t="s">
        <v>30</v>
      </c>
      <c r="E99" t="s">
        <v>222</v>
      </c>
      <c r="F99" t="s">
        <v>222</v>
      </c>
      <c r="G99" t="s">
        <v>223</v>
      </c>
    </row>
    <row r="100" spans="1:7" x14ac:dyDescent="0.25">
      <c r="A100" t="str">
        <f>"9275186D9C"</f>
        <v>9275186D9C</v>
      </c>
      <c r="B100" t="s">
        <v>9</v>
      </c>
      <c r="C100" t="s">
        <v>224</v>
      </c>
      <c r="D100" t="s">
        <v>30</v>
      </c>
    </row>
    <row r="101" spans="1:7" x14ac:dyDescent="0.25">
      <c r="A101" t="str">
        <f>"9528925DA8"</f>
        <v>9528925DA8</v>
      </c>
      <c r="B101" t="s">
        <v>9</v>
      </c>
      <c r="C101" t="s">
        <v>225</v>
      </c>
      <c r="D101" t="s">
        <v>11</v>
      </c>
      <c r="E101" t="s">
        <v>142</v>
      </c>
      <c r="F101" t="s">
        <v>142</v>
      </c>
      <c r="G101" t="s">
        <v>226</v>
      </c>
    </row>
    <row r="102" spans="1:7" x14ac:dyDescent="0.25">
      <c r="A102" t="str">
        <f>"9390796A01"</f>
        <v>9390796A01</v>
      </c>
      <c r="B102" t="s">
        <v>9</v>
      </c>
      <c r="C102" t="s">
        <v>227</v>
      </c>
      <c r="D102" t="s">
        <v>30</v>
      </c>
    </row>
    <row r="103" spans="1:7" x14ac:dyDescent="0.25">
      <c r="A103" t="str">
        <f>"9280827CB6"</f>
        <v>9280827CB6</v>
      </c>
      <c r="B103" t="s">
        <v>9</v>
      </c>
      <c r="C103" t="s">
        <v>228</v>
      </c>
      <c r="D103" t="s">
        <v>30</v>
      </c>
    </row>
    <row r="104" spans="1:7" x14ac:dyDescent="0.25">
      <c r="A104" t="str">
        <f>"9104198DD9"</f>
        <v>9104198DD9</v>
      </c>
      <c r="B104" t="s">
        <v>9</v>
      </c>
      <c r="C104" t="s">
        <v>229</v>
      </c>
      <c r="D104" t="s">
        <v>30</v>
      </c>
      <c r="E104" t="s">
        <v>230</v>
      </c>
      <c r="F104" t="s">
        <v>230</v>
      </c>
      <c r="G104" t="s">
        <v>231</v>
      </c>
    </row>
    <row r="105" spans="1:7" x14ac:dyDescent="0.25">
      <c r="A105" t="str">
        <f>"9106863516"</f>
        <v>9106863516</v>
      </c>
      <c r="B105" t="s">
        <v>9</v>
      </c>
      <c r="C105" t="s">
        <v>232</v>
      </c>
      <c r="D105" t="s">
        <v>30</v>
      </c>
      <c r="E105" t="s">
        <v>233</v>
      </c>
      <c r="F105" t="s">
        <v>233</v>
      </c>
      <c r="G105" t="s">
        <v>234</v>
      </c>
    </row>
    <row r="106" spans="1:7" x14ac:dyDescent="0.25">
      <c r="A106" t="str">
        <f>"93075522E4"</f>
        <v>93075522E4</v>
      </c>
      <c r="B106" t="s">
        <v>9</v>
      </c>
      <c r="C106" t="s">
        <v>235</v>
      </c>
      <c r="D106" t="s">
        <v>11</v>
      </c>
    </row>
    <row r="107" spans="1:7" x14ac:dyDescent="0.25">
      <c r="A107" t="str">
        <f>"923915798B"</f>
        <v>923915798B</v>
      </c>
      <c r="B107" t="s">
        <v>9</v>
      </c>
      <c r="C107" t="s">
        <v>236</v>
      </c>
      <c r="D107" t="s">
        <v>30</v>
      </c>
      <c r="E107" t="s">
        <v>194</v>
      </c>
      <c r="F107" t="s">
        <v>194</v>
      </c>
      <c r="G107" t="s">
        <v>237</v>
      </c>
    </row>
    <row r="108" spans="1:7" x14ac:dyDescent="0.25">
      <c r="A108" t="str">
        <f>"907840699F"</f>
        <v>907840699F</v>
      </c>
      <c r="B108" t="s">
        <v>9</v>
      </c>
      <c r="C108" t="s">
        <v>238</v>
      </c>
      <c r="D108" t="s">
        <v>11</v>
      </c>
      <c r="E108" t="s">
        <v>75</v>
      </c>
      <c r="F108" t="s">
        <v>75</v>
      </c>
      <c r="G108" t="s">
        <v>239</v>
      </c>
    </row>
    <row r="109" spans="1:7" x14ac:dyDescent="0.25">
      <c r="A109" t="str">
        <f>"9233724618"</f>
        <v>9233724618</v>
      </c>
      <c r="B109" t="s">
        <v>9</v>
      </c>
      <c r="C109" t="s">
        <v>240</v>
      </c>
      <c r="D109" t="s">
        <v>30</v>
      </c>
    </row>
    <row r="110" spans="1:7" x14ac:dyDescent="0.25">
      <c r="A110" t="str">
        <f>"899313274B"</f>
        <v>899313274B</v>
      </c>
      <c r="B110" t="s">
        <v>9</v>
      </c>
      <c r="C110" t="s">
        <v>241</v>
      </c>
      <c r="D110" t="s">
        <v>30</v>
      </c>
      <c r="E110" t="s">
        <v>242</v>
      </c>
      <c r="F110" t="s">
        <v>242</v>
      </c>
      <c r="G110" t="s">
        <v>243</v>
      </c>
    </row>
    <row r="111" spans="1:7" x14ac:dyDescent="0.25">
      <c r="A111" t="str">
        <f>"94401935B4"</f>
        <v>94401935B4</v>
      </c>
      <c r="B111" t="s">
        <v>9</v>
      </c>
      <c r="C111" t="s">
        <v>107</v>
      </c>
      <c r="D111" t="s">
        <v>11</v>
      </c>
      <c r="E111" t="s">
        <v>244</v>
      </c>
      <c r="F111" t="s">
        <v>244</v>
      </c>
      <c r="G111" t="s">
        <v>245</v>
      </c>
    </row>
    <row r="112" spans="1:7" x14ac:dyDescent="0.25">
      <c r="A112" t="str">
        <f>"90127883F1"</f>
        <v>90127883F1</v>
      </c>
      <c r="B112" t="s">
        <v>9</v>
      </c>
      <c r="C112" t="s">
        <v>246</v>
      </c>
      <c r="D112" t="s">
        <v>30</v>
      </c>
      <c r="E112" t="s">
        <v>72</v>
      </c>
      <c r="F112" t="s">
        <v>72</v>
      </c>
      <c r="G112" t="s">
        <v>247</v>
      </c>
    </row>
    <row r="113" spans="1:7" x14ac:dyDescent="0.25">
      <c r="A113" t="str">
        <f>"9383214924"</f>
        <v>9383214924</v>
      </c>
      <c r="B113" t="s">
        <v>9</v>
      </c>
      <c r="C113" t="s">
        <v>248</v>
      </c>
      <c r="D113" t="s">
        <v>30</v>
      </c>
      <c r="E113" t="s">
        <v>45</v>
      </c>
      <c r="F113" t="s">
        <v>45</v>
      </c>
      <c r="G113" t="s">
        <v>249</v>
      </c>
    </row>
    <row r="114" spans="1:7" x14ac:dyDescent="0.25">
      <c r="A114" t="str">
        <f>"9539014360"</f>
        <v>9539014360</v>
      </c>
      <c r="B114" t="s">
        <v>9</v>
      </c>
      <c r="C114" t="s">
        <v>250</v>
      </c>
      <c r="D114" t="s">
        <v>30</v>
      </c>
      <c r="E114" t="s">
        <v>251</v>
      </c>
      <c r="F114" t="s">
        <v>251</v>
      </c>
      <c r="G114" t="s">
        <v>252</v>
      </c>
    </row>
    <row r="115" spans="1:7" x14ac:dyDescent="0.25">
      <c r="A115" t="str">
        <f>"9170878FEC"</f>
        <v>9170878FEC</v>
      </c>
      <c r="B115" t="s">
        <v>9</v>
      </c>
      <c r="C115" t="s">
        <v>253</v>
      </c>
      <c r="D115" t="s">
        <v>30</v>
      </c>
      <c r="E115" t="s">
        <v>244</v>
      </c>
      <c r="F115" t="s">
        <v>244</v>
      </c>
      <c r="G115" t="s">
        <v>254</v>
      </c>
    </row>
    <row r="116" spans="1:7" x14ac:dyDescent="0.25">
      <c r="A116" t="str">
        <f>"8863624DE7"</f>
        <v>8863624DE7</v>
      </c>
      <c r="B116" t="s">
        <v>9</v>
      </c>
      <c r="C116" t="s">
        <v>255</v>
      </c>
      <c r="D116" t="s">
        <v>30</v>
      </c>
      <c r="E116" t="s">
        <v>256</v>
      </c>
      <c r="F116" t="s">
        <v>256</v>
      </c>
      <c r="G116" t="s">
        <v>257</v>
      </c>
    </row>
    <row r="117" spans="1:7" x14ac:dyDescent="0.25">
      <c r="A117" t="str">
        <f>"952887111C"</f>
        <v>952887111C</v>
      </c>
      <c r="B117" t="s">
        <v>9</v>
      </c>
      <c r="C117" t="s">
        <v>258</v>
      </c>
      <c r="D117" t="s">
        <v>30</v>
      </c>
      <c r="E117" t="s">
        <v>33</v>
      </c>
      <c r="F117" t="s">
        <v>33</v>
      </c>
      <c r="G117" t="s">
        <v>259</v>
      </c>
    </row>
    <row r="118" spans="1:7" x14ac:dyDescent="0.25">
      <c r="A118" t="str">
        <f>"920517705F"</f>
        <v>920517705F</v>
      </c>
      <c r="B118" t="s">
        <v>9</v>
      </c>
      <c r="C118" t="s">
        <v>260</v>
      </c>
      <c r="D118" t="s">
        <v>30</v>
      </c>
    </row>
    <row r="119" spans="1:7" x14ac:dyDescent="0.25">
      <c r="A119" t="str">
        <f>"9140318D04"</f>
        <v>9140318D04</v>
      </c>
      <c r="B119" t="s">
        <v>9</v>
      </c>
      <c r="C119" t="s">
        <v>261</v>
      </c>
      <c r="D119" t="s">
        <v>30</v>
      </c>
      <c r="E119" t="s">
        <v>262</v>
      </c>
      <c r="F119" t="s">
        <v>262</v>
      </c>
      <c r="G119" t="s">
        <v>263</v>
      </c>
    </row>
    <row r="120" spans="1:7" x14ac:dyDescent="0.25">
      <c r="A120" t="str">
        <f>"9219539C41"</f>
        <v>9219539C41</v>
      </c>
      <c r="B120" t="s">
        <v>9</v>
      </c>
      <c r="C120" t="s">
        <v>264</v>
      </c>
      <c r="D120" t="s">
        <v>30</v>
      </c>
    </row>
    <row r="121" spans="1:7" x14ac:dyDescent="0.25">
      <c r="A121" t="str">
        <f>"93828214D5"</f>
        <v>93828214D5</v>
      </c>
      <c r="B121" t="s">
        <v>9</v>
      </c>
      <c r="C121" t="s">
        <v>265</v>
      </c>
      <c r="D121" t="s">
        <v>30</v>
      </c>
    </row>
    <row r="122" spans="1:7" x14ac:dyDescent="0.25">
      <c r="A122" t="str">
        <f>"92113896AB"</f>
        <v>92113896AB</v>
      </c>
      <c r="B122" t="s">
        <v>9</v>
      </c>
      <c r="C122" t="s">
        <v>266</v>
      </c>
      <c r="D122" t="s">
        <v>30</v>
      </c>
      <c r="E122" t="s">
        <v>267</v>
      </c>
      <c r="F122" t="s">
        <v>267</v>
      </c>
      <c r="G122" t="s">
        <v>268</v>
      </c>
    </row>
    <row r="123" spans="1:7" x14ac:dyDescent="0.25">
      <c r="A123" t="str">
        <f>"9082769A15"</f>
        <v>9082769A15</v>
      </c>
      <c r="B123" t="s">
        <v>9</v>
      </c>
      <c r="C123" t="s">
        <v>269</v>
      </c>
      <c r="D123" t="s">
        <v>30</v>
      </c>
      <c r="E123" t="s">
        <v>197</v>
      </c>
      <c r="F123" t="s">
        <v>197</v>
      </c>
      <c r="G123" t="s">
        <v>270</v>
      </c>
    </row>
    <row r="124" spans="1:7" x14ac:dyDescent="0.25">
      <c r="A124" t="str">
        <f>"9327708C23"</f>
        <v>9327708C23</v>
      </c>
      <c r="B124" t="s">
        <v>9</v>
      </c>
      <c r="C124" t="s">
        <v>271</v>
      </c>
      <c r="D124" t="s">
        <v>11</v>
      </c>
      <c r="E124" t="s">
        <v>72</v>
      </c>
      <c r="F124" t="s">
        <v>72</v>
      </c>
      <c r="G124" t="s">
        <v>272</v>
      </c>
    </row>
    <row r="125" spans="1:7" x14ac:dyDescent="0.25">
      <c r="A125" t="str">
        <f>"9415089939"</f>
        <v>9415089939</v>
      </c>
      <c r="B125" t="s">
        <v>9</v>
      </c>
      <c r="C125" t="s">
        <v>273</v>
      </c>
      <c r="D125" t="s">
        <v>11</v>
      </c>
    </row>
    <row r="126" spans="1:7" x14ac:dyDescent="0.25">
      <c r="A126" t="str">
        <f>"9301573CDA"</f>
        <v>9301573CDA</v>
      </c>
      <c r="B126" t="s">
        <v>9</v>
      </c>
      <c r="C126" t="s">
        <v>274</v>
      </c>
      <c r="D126" t="s">
        <v>30</v>
      </c>
      <c r="E126" t="s">
        <v>275</v>
      </c>
      <c r="F126" t="s">
        <v>275</v>
      </c>
      <c r="G126" t="s">
        <v>276</v>
      </c>
    </row>
    <row r="127" spans="1:7" x14ac:dyDescent="0.25">
      <c r="A127" t="str">
        <f>"9494055608"</f>
        <v>9494055608</v>
      </c>
      <c r="B127" t="s">
        <v>9</v>
      </c>
      <c r="C127" t="s">
        <v>277</v>
      </c>
      <c r="D127" t="s">
        <v>30</v>
      </c>
      <c r="E127" t="s">
        <v>242</v>
      </c>
      <c r="F127" t="s">
        <v>242</v>
      </c>
      <c r="G127" t="s">
        <v>278</v>
      </c>
    </row>
    <row r="128" spans="1:7" x14ac:dyDescent="0.25">
      <c r="A128" t="str">
        <f>"8964291EF0"</f>
        <v>8964291EF0</v>
      </c>
      <c r="B128" t="s">
        <v>9</v>
      </c>
      <c r="C128" t="s">
        <v>279</v>
      </c>
      <c r="D128" t="s">
        <v>30</v>
      </c>
      <c r="E128" t="s">
        <v>280</v>
      </c>
      <c r="F128" t="s">
        <v>280</v>
      </c>
      <c r="G128" t="s">
        <v>281</v>
      </c>
    </row>
    <row r="129" spans="1:7" x14ac:dyDescent="0.25">
      <c r="A129" t="str">
        <f>"9156277ECC"</f>
        <v>9156277ECC</v>
      </c>
      <c r="B129" t="s">
        <v>9</v>
      </c>
      <c r="C129" t="s">
        <v>282</v>
      </c>
      <c r="D129" t="s">
        <v>11</v>
      </c>
      <c r="E129" t="s">
        <v>63</v>
      </c>
      <c r="F129" t="s">
        <v>63</v>
      </c>
      <c r="G129" t="s">
        <v>283</v>
      </c>
    </row>
    <row r="130" spans="1:7" x14ac:dyDescent="0.25">
      <c r="A130" t="str">
        <f>"9484826605"</f>
        <v>9484826605</v>
      </c>
      <c r="B130" t="s">
        <v>9</v>
      </c>
      <c r="C130" t="s">
        <v>284</v>
      </c>
      <c r="D130" t="s">
        <v>30</v>
      </c>
    </row>
    <row r="131" spans="1:7" x14ac:dyDescent="0.25">
      <c r="A131" t="str">
        <f>"9109973B88"</f>
        <v>9109973B88</v>
      </c>
      <c r="B131" t="s">
        <v>9</v>
      </c>
      <c r="C131" t="s">
        <v>285</v>
      </c>
      <c r="D131" t="s">
        <v>30</v>
      </c>
      <c r="E131" t="s">
        <v>286</v>
      </c>
      <c r="F131" t="s">
        <v>286</v>
      </c>
      <c r="G131" t="s">
        <v>287</v>
      </c>
    </row>
    <row r="132" spans="1:7" x14ac:dyDescent="0.25">
      <c r="A132" t="str">
        <f>"945122124D"</f>
        <v>945122124D</v>
      </c>
      <c r="B132" t="s">
        <v>9</v>
      </c>
      <c r="C132" t="s">
        <v>288</v>
      </c>
      <c r="D132" t="s">
        <v>30</v>
      </c>
      <c r="E132" t="s">
        <v>289</v>
      </c>
      <c r="F132" t="s">
        <v>289</v>
      </c>
      <c r="G132" t="s">
        <v>290</v>
      </c>
    </row>
    <row r="133" spans="1:7" x14ac:dyDescent="0.25">
      <c r="A133" t="str">
        <f>"9098069C0A"</f>
        <v>9098069C0A</v>
      </c>
      <c r="B133" t="s">
        <v>9</v>
      </c>
      <c r="C133" t="s">
        <v>291</v>
      </c>
      <c r="D133" t="s">
        <v>30</v>
      </c>
      <c r="E133" t="s">
        <v>292</v>
      </c>
      <c r="F133" t="s">
        <v>292</v>
      </c>
      <c r="G133" t="s">
        <v>276</v>
      </c>
    </row>
    <row r="134" spans="1:7" x14ac:dyDescent="0.25">
      <c r="A134" t="str">
        <f>"9460889C93"</f>
        <v>9460889C93</v>
      </c>
      <c r="B134" t="s">
        <v>9</v>
      </c>
      <c r="C134" t="s">
        <v>293</v>
      </c>
      <c r="D134" t="s">
        <v>11</v>
      </c>
      <c r="E134" t="s">
        <v>244</v>
      </c>
      <c r="F134" t="s">
        <v>244</v>
      </c>
      <c r="G134" t="s">
        <v>294</v>
      </c>
    </row>
    <row r="135" spans="1:7" x14ac:dyDescent="0.25">
      <c r="A135" t="str">
        <f>"913691117C"</f>
        <v>913691117C</v>
      </c>
      <c r="B135" t="s">
        <v>9</v>
      </c>
      <c r="C135" t="s">
        <v>29</v>
      </c>
      <c r="D135" t="s">
        <v>30</v>
      </c>
      <c r="E135" t="s">
        <v>197</v>
      </c>
      <c r="F135" t="s">
        <v>197</v>
      </c>
      <c r="G135" t="s">
        <v>295</v>
      </c>
    </row>
    <row r="136" spans="1:7" x14ac:dyDescent="0.25">
      <c r="A136" t="str">
        <f>"9129670A03"</f>
        <v>9129670A03</v>
      </c>
      <c r="B136" t="s">
        <v>9</v>
      </c>
      <c r="C136" t="s">
        <v>296</v>
      </c>
      <c r="D136" t="s">
        <v>30</v>
      </c>
      <c r="E136" t="s">
        <v>123</v>
      </c>
      <c r="F136" t="s">
        <v>123</v>
      </c>
      <c r="G136" t="s">
        <v>297</v>
      </c>
    </row>
    <row r="137" spans="1:7" x14ac:dyDescent="0.25">
      <c r="A137" t="str">
        <f>"9485651ED2"</f>
        <v>9485651ED2</v>
      </c>
      <c r="B137" t="s">
        <v>9</v>
      </c>
      <c r="C137" t="s">
        <v>298</v>
      </c>
      <c r="D137" t="s">
        <v>11</v>
      </c>
      <c r="E137" t="s">
        <v>244</v>
      </c>
      <c r="F137" t="s">
        <v>244</v>
      </c>
      <c r="G137" t="s">
        <v>299</v>
      </c>
    </row>
    <row r="138" spans="1:7" x14ac:dyDescent="0.25">
      <c r="A138" t="str">
        <f>"9405448539"</f>
        <v>9405448539</v>
      </c>
      <c r="B138" t="s">
        <v>9</v>
      </c>
      <c r="C138" t="s">
        <v>300</v>
      </c>
      <c r="D138" t="s">
        <v>30</v>
      </c>
    </row>
    <row r="139" spans="1:7" x14ac:dyDescent="0.25">
      <c r="A139" t="str">
        <f>"9233619F6F"</f>
        <v>9233619F6F</v>
      </c>
      <c r="B139" t="s">
        <v>9</v>
      </c>
      <c r="C139" t="s">
        <v>79</v>
      </c>
      <c r="D139" t="s">
        <v>30</v>
      </c>
    </row>
    <row r="140" spans="1:7" x14ac:dyDescent="0.25">
      <c r="A140" t="str">
        <f>"9076024BEE"</f>
        <v>9076024BEE</v>
      </c>
      <c r="B140" t="s">
        <v>9</v>
      </c>
      <c r="C140" t="s">
        <v>301</v>
      </c>
      <c r="D140" t="s">
        <v>11</v>
      </c>
      <c r="E140" t="s">
        <v>160</v>
      </c>
      <c r="F140" t="s">
        <v>160</v>
      </c>
      <c r="G140" t="s">
        <v>302</v>
      </c>
    </row>
    <row r="141" spans="1:7" x14ac:dyDescent="0.25">
      <c r="A141" t="str">
        <f>"9546710251"</f>
        <v>9546710251</v>
      </c>
      <c r="B141" t="s">
        <v>9</v>
      </c>
      <c r="C141" t="s">
        <v>303</v>
      </c>
      <c r="D141" t="s">
        <v>11</v>
      </c>
      <c r="E141" t="s">
        <v>160</v>
      </c>
      <c r="F141" t="s">
        <v>160</v>
      </c>
      <c r="G141" t="s">
        <v>304</v>
      </c>
    </row>
    <row r="142" spans="1:7" x14ac:dyDescent="0.25">
      <c r="A142" t="str">
        <f>"93583789D3"</f>
        <v>93583789D3</v>
      </c>
      <c r="B142" t="s">
        <v>9</v>
      </c>
      <c r="C142" t="s">
        <v>305</v>
      </c>
      <c r="D142" t="s">
        <v>30</v>
      </c>
    </row>
    <row r="143" spans="1:7" x14ac:dyDescent="0.25">
      <c r="A143" t="str">
        <f>"9082832E11"</f>
        <v>9082832E11</v>
      </c>
      <c r="B143" t="s">
        <v>9</v>
      </c>
      <c r="C143" t="s">
        <v>306</v>
      </c>
      <c r="D143" t="s">
        <v>30</v>
      </c>
      <c r="E143" t="s">
        <v>123</v>
      </c>
      <c r="F143" t="s">
        <v>123</v>
      </c>
      <c r="G143" t="s">
        <v>307</v>
      </c>
    </row>
    <row r="144" spans="1:7" x14ac:dyDescent="0.25">
      <c r="A144" t="str">
        <f>"9358290137"</f>
        <v>9358290137</v>
      </c>
      <c r="B144" t="s">
        <v>9</v>
      </c>
      <c r="C144" t="s">
        <v>308</v>
      </c>
      <c r="D144" t="s">
        <v>30</v>
      </c>
    </row>
    <row r="145" spans="1:7" x14ac:dyDescent="0.25">
      <c r="A145" t="str">
        <f>"944036861E"</f>
        <v>944036861E</v>
      </c>
      <c r="B145" t="s">
        <v>9</v>
      </c>
      <c r="C145" t="s">
        <v>309</v>
      </c>
      <c r="D145" t="s">
        <v>11</v>
      </c>
      <c r="E145" t="s">
        <v>244</v>
      </c>
      <c r="F145" t="s">
        <v>244</v>
      </c>
      <c r="G145" t="s">
        <v>310</v>
      </c>
    </row>
    <row r="146" spans="1:7" x14ac:dyDescent="0.25">
      <c r="A146" t="str">
        <f>"925487761A"</f>
        <v>925487761A</v>
      </c>
      <c r="B146" t="s">
        <v>9</v>
      </c>
      <c r="C146" t="s">
        <v>311</v>
      </c>
      <c r="D146" t="s">
        <v>30</v>
      </c>
    </row>
    <row r="147" spans="1:7" x14ac:dyDescent="0.25">
      <c r="A147" t="str">
        <f>"9012835AB8"</f>
        <v>9012835AB8</v>
      </c>
      <c r="B147" t="s">
        <v>9</v>
      </c>
      <c r="C147" t="s">
        <v>312</v>
      </c>
      <c r="D147" t="s">
        <v>30</v>
      </c>
    </row>
    <row r="148" spans="1:7" x14ac:dyDescent="0.25">
      <c r="A148" t="str">
        <f>"9131417BAE"</f>
        <v>9131417BAE</v>
      </c>
      <c r="B148" t="s">
        <v>9</v>
      </c>
      <c r="C148" t="s">
        <v>313</v>
      </c>
      <c r="D148" t="s">
        <v>30</v>
      </c>
      <c r="E148" t="s">
        <v>206</v>
      </c>
      <c r="F148" t="s">
        <v>206</v>
      </c>
      <c r="G148" t="s">
        <v>314</v>
      </c>
    </row>
    <row r="149" spans="1:7" x14ac:dyDescent="0.25">
      <c r="A149" t="str">
        <f>"9455335547"</f>
        <v>9455335547</v>
      </c>
      <c r="B149" t="s">
        <v>9</v>
      </c>
      <c r="C149" t="s">
        <v>315</v>
      </c>
      <c r="D149" t="s">
        <v>11</v>
      </c>
      <c r="E149" t="s">
        <v>244</v>
      </c>
      <c r="F149" t="s">
        <v>244</v>
      </c>
      <c r="G149" t="s">
        <v>316</v>
      </c>
    </row>
    <row r="150" spans="1:7" x14ac:dyDescent="0.25">
      <c r="A150" t="str">
        <f>"91016230E8"</f>
        <v>91016230E8</v>
      </c>
      <c r="B150" t="s">
        <v>9</v>
      </c>
      <c r="C150" t="s">
        <v>317</v>
      </c>
      <c r="D150" t="s">
        <v>30</v>
      </c>
      <c r="E150" t="s">
        <v>96</v>
      </c>
      <c r="F150" t="s">
        <v>96</v>
      </c>
      <c r="G150" t="s">
        <v>318</v>
      </c>
    </row>
    <row r="151" spans="1:7" x14ac:dyDescent="0.25">
      <c r="A151" t="str">
        <f>"93210494F7"</f>
        <v>93210494F7</v>
      </c>
      <c r="B151" t="s">
        <v>9</v>
      </c>
      <c r="C151" t="s">
        <v>319</v>
      </c>
      <c r="D151" t="s">
        <v>30</v>
      </c>
    </row>
    <row r="152" spans="1:7" x14ac:dyDescent="0.25">
      <c r="A152" t="str">
        <f>"9130864357"</f>
        <v>9130864357</v>
      </c>
      <c r="B152" t="s">
        <v>9</v>
      </c>
      <c r="C152" t="s">
        <v>320</v>
      </c>
      <c r="D152" t="s">
        <v>30</v>
      </c>
      <c r="E152" t="s">
        <v>321</v>
      </c>
      <c r="F152" t="s">
        <v>321</v>
      </c>
      <c r="G152" t="s">
        <v>322</v>
      </c>
    </row>
    <row r="153" spans="1:7" x14ac:dyDescent="0.25">
      <c r="A153" t="str">
        <f>"9526078041"</f>
        <v>9526078041</v>
      </c>
      <c r="B153" t="s">
        <v>9</v>
      </c>
      <c r="C153" t="s">
        <v>323</v>
      </c>
      <c r="D153" t="s">
        <v>11</v>
      </c>
      <c r="E153" t="s">
        <v>160</v>
      </c>
      <c r="F153" t="s">
        <v>160</v>
      </c>
      <c r="G153" t="s">
        <v>324</v>
      </c>
    </row>
    <row r="154" spans="1:7" x14ac:dyDescent="0.25">
      <c r="A154" t="str">
        <f>"9189030371"</f>
        <v>9189030371</v>
      </c>
      <c r="B154" t="s">
        <v>9</v>
      </c>
      <c r="C154" t="s">
        <v>325</v>
      </c>
      <c r="D154" t="s">
        <v>30</v>
      </c>
      <c r="E154" t="s">
        <v>326</v>
      </c>
      <c r="F154" t="s">
        <v>326</v>
      </c>
      <c r="G154" t="s">
        <v>327</v>
      </c>
    </row>
    <row r="155" spans="1:7" x14ac:dyDescent="0.25">
      <c r="A155" t="str">
        <f>"9266485155"</f>
        <v>9266485155</v>
      </c>
      <c r="B155" t="s">
        <v>9</v>
      </c>
      <c r="C155" t="s">
        <v>328</v>
      </c>
      <c r="D155" t="s">
        <v>30</v>
      </c>
      <c r="E155" t="s">
        <v>329</v>
      </c>
      <c r="F155" t="s">
        <v>329</v>
      </c>
      <c r="G155" t="s">
        <v>108</v>
      </c>
    </row>
    <row r="156" spans="1:7" x14ac:dyDescent="0.25">
      <c r="A156" t="str">
        <f>"92596400A9"</f>
        <v>92596400A9</v>
      </c>
      <c r="B156" t="s">
        <v>9</v>
      </c>
      <c r="C156" t="s">
        <v>330</v>
      </c>
      <c r="D156" t="s">
        <v>30</v>
      </c>
    </row>
    <row r="157" spans="1:7" x14ac:dyDescent="0.25">
      <c r="A157" t="str">
        <f>"8916184BCA"</f>
        <v>8916184BCA</v>
      </c>
      <c r="B157" t="s">
        <v>9</v>
      </c>
      <c r="C157" t="s">
        <v>331</v>
      </c>
      <c r="D157" t="s">
        <v>11</v>
      </c>
      <c r="E157" t="s">
        <v>63</v>
      </c>
      <c r="F157" t="s">
        <v>63</v>
      </c>
      <c r="G157" t="s">
        <v>332</v>
      </c>
    </row>
    <row r="158" spans="1:7" x14ac:dyDescent="0.25">
      <c r="A158" t="str">
        <f>"8940041338"</f>
        <v>8940041338</v>
      </c>
      <c r="B158" t="s">
        <v>9</v>
      </c>
      <c r="C158" t="s">
        <v>333</v>
      </c>
      <c r="D158" t="s">
        <v>30</v>
      </c>
      <c r="E158" t="s">
        <v>334</v>
      </c>
      <c r="F158" t="s">
        <v>110</v>
      </c>
      <c r="G158" t="s">
        <v>335</v>
      </c>
    </row>
    <row r="159" spans="1:7" x14ac:dyDescent="0.25">
      <c r="A159" t="str">
        <f>"894091654A"</f>
        <v>894091654A</v>
      </c>
      <c r="B159" t="s">
        <v>9</v>
      </c>
      <c r="C159" t="s">
        <v>336</v>
      </c>
      <c r="D159" t="s">
        <v>11</v>
      </c>
      <c r="E159" t="s">
        <v>160</v>
      </c>
      <c r="F159" t="s">
        <v>160</v>
      </c>
      <c r="G159" t="s">
        <v>337</v>
      </c>
    </row>
    <row r="160" spans="1:7" x14ac:dyDescent="0.25">
      <c r="A160" t="str">
        <f>"8717378FE2"</f>
        <v>8717378FE2</v>
      </c>
      <c r="B160" t="s">
        <v>9</v>
      </c>
      <c r="C160" t="s">
        <v>338</v>
      </c>
      <c r="D160" t="s">
        <v>30</v>
      </c>
      <c r="E160" t="s">
        <v>267</v>
      </c>
      <c r="F160" t="s">
        <v>267</v>
      </c>
      <c r="G160" t="s">
        <v>339</v>
      </c>
    </row>
    <row r="161" spans="1:7" x14ac:dyDescent="0.25">
      <c r="A161" t="str">
        <f>"95282039D9"</f>
        <v>95282039D9</v>
      </c>
      <c r="B161" t="s">
        <v>9</v>
      </c>
      <c r="C161" t="s">
        <v>340</v>
      </c>
      <c r="D161" t="s">
        <v>30</v>
      </c>
      <c r="E161" t="s">
        <v>341</v>
      </c>
      <c r="F161" t="s">
        <v>341</v>
      </c>
      <c r="G161" t="s">
        <v>342</v>
      </c>
    </row>
    <row r="162" spans="1:7" x14ac:dyDescent="0.25">
      <c r="A162" t="str">
        <f>"9161525997"</f>
        <v>9161525997</v>
      </c>
      <c r="B162" t="s">
        <v>9</v>
      </c>
      <c r="C162" t="s">
        <v>343</v>
      </c>
      <c r="D162" t="s">
        <v>30</v>
      </c>
      <c r="E162" t="s">
        <v>344</v>
      </c>
      <c r="F162" t="s">
        <v>344</v>
      </c>
      <c r="G162" t="s">
        <v>345</v>
      </c>
    </row>
    <row r="163" spans="1:7" x14ac:dyDescent="0.25">
      <c r="A163" t="str">
        <f>"940635842E"</f>
        <v>940635842E</v>
      </c>
      <c r="B163" t="s">
        <v>9</v>
      </c>
      <c r="C163" t="s">
        <v>346</v>
      </c>
      <c r="D163" t="s">
        <v>11</v>
      </c>
      <c r="E163" t="s">
        <v>160</v>
      </c>
      <c r="F163" t="s">
        <v>160</v>
      </c>
      <c r="G163" t="s">
        <v>347</v>
      </c>
    </row>
    <row r="164" spans="1:7" x14ac:dyDescent="0.25">
      <c r="A164" t="str">
        <f>"95304410B7"</f>
        <v>95304410B7</v>
      </c>
      <c r="B164" t="s">
        <v>9</v>
      </c>
      <c r="C164" t="s">
        <v>348</v>
      </c>
      <c r="D164" t="s">
        <v>30</v>
      </c>
      <c r="E164" t="s">
        <v>251</v>
      </c>
      <c r="F164" t="s">
        <v>251</v>
      </c>
      <c r="G164" t="s">
        <v>223</v>
      </c>
    </row>
    <row r="165" spans="1:7" x14ac:dyDescent="0.25">
      <c r="A165" t="str">
        <f>"8659970152"</f>
        <v>8659970152</v>
      </c>
      <c r="B165" t="s">
        <v>9</v>
      </c>
      <c r="C165" t="s">
        <v>349</v>
      </c>
      <c r="D165" t="s">
        <v>11</v>
      </c>
      <c r="E165" t="s">
        <v>21</v>
      </c>
      <c r="F165" t="s">
        <v>21</v>
      </c>
      <c r="G165" t="s">
        <v>350</v>
      </c>
    </row>
    <row r="166" spans="1:7" x14ac:dyDescent="0.25">
      <c r="A166" t="str">
        <f>"938312822E"</f>
        <v>938312822E</v>
      </c>
      <c r="B166" t="s">
        <v>9</v>
      </c>
      <c r="C166" t="s">
        <v>351</v>
      </c>
      <c r="D166" t="s">
        <v>30</v>
      </c>
    </row>
    <row r="167" spans="1:7" x14ac:dyDescent="0.25">
      <c r="A167" t="str">
        <f>"9509595E09"</f>
        <v>9509595E09</v>
      </c>
      <c r="B167" t="s">
        <v>9</v>
      </c>
      <c r="C167" t="s">
        <v>352</v>
      </c>
      <c r="D167" t="s">
        <v>11</v>
      </c>
      <c r="E167" t="s">
        <v>12</v>
      </c>
      <c r="F167" t="s">
        <v>12</v>
      </c>
      <c r="G167" t="s">
        <v>353</v>
      </c>
    </row>
    <row r="168" spans="1:7" x14ac:dyDescent="0.25">
      <c r="A168" t="str">
        <f>"94806911B7"</f>
        <v>94806911B7</v>
      </c>
      <c r="B168" t="s">
        <v>9</v>
      </c>
      <c r="C168" t="s">
        <v>354</v>
      </c>
      <c r="D168" t="s">
        <v>30</v>
      </c>
      <c r="E168" t="s">
        <v>355</v>
      </c>
      <c r="F168" t="s">
        <v>355</v>
      </c>
      <c r="G168" t="s">
        <v>356</v>
      </c>
    </row>
    <row r="169" spans="1:7" x14ac:dyDescent="0.25">
      <c r="A169" t="str">
        <f>"9274040BE7"</f>
        <v>9274040BE7</v>
      </c>
      <c r="B169" t="s">
        <v>9</v>
      </c>
      <c r="C169" t="s">
        <v>357</v>
      </c>
      <c r="D169" t="s">
        <v>30</v>
      </c>
    </row>
    <row r="170" spans="1:7" x14ac:dyDescent="0.25">
      <c r="A170" t="str">
        <f>"9472105452"</f>
        <v>9472105452</v>
      </c>
      <c r="B170" t="s">
        <v>9</v>
      </c>
      <c r="C170" t="s">
        <v>92</v>
      </c>
      <c r="D170" t="s">
        <v>11</v>
      </c>
      <c r="E170" t="s">
        <v>75</v>
      </c>
      <c r="F170" t="s">
        <v>75</v>
      </c>
      <c r="G170" t="s">
        <v>358</v>
      </c>
    </row>
    <row r="171" spans="1:7" x14ac:dyDescent="0.25">
      <c r="A171" t="str">
        <f>"87736862BB"</f>
        <v>87736862BB</v>
      </c>
      <c r="B171" t="s">
        <v>9</v>
      </c>
      <c r="C171" t="s">
        <v>359</v>
      </c>
      <c r="D171" t="s">
        <v>11</v>
      </c>
      <c r="E171" t="s">
        <v>160</v>
      </c>
      <c r="F171" t="s">
        <v>160</v>
      </c>
      <c r="G171" t="s">
        <v>360</v>
      </c>
    </row>
    <row r="172" spans="1:7" x14ac:dyDescent="0.25">
      <c r="A172" t="str">
        <f>"949411143F"</f>
        <v>949411143F</v>
      </c>
      <c r="B172" t="s">
        <v>9</v>
      </c>
      <c r="C172" t="s">
        <v>361</v>
      </c>
      <c r="D172" t="s">
        <v>30</v>
      </c>
      <c r="E172" t="s">
        <v>242</v>
      </c>
      <c r="F172" t="s">
        <v>242</v>
      </c>
      <c r="G172" t="s">
        <v>362</v>
      </c>
    </row>
    <row r="173" spans="1:7" x14ac:dyDescent="0.25">
      <c r="A173" t="str">
        <f>"88146596B7"</f>
        <v>88146596B7</v>
      </c>
      <c r="B173" t="s">
        <v>9</v>
      </c>
      <c r="C173" t="s">
        <v>363</v>
      </c>
      <c r="D173" t="s">
        <v>11</v>
      </c>
      <c r="E173" t="s">
        <v>364</v>
      </c>
      <c r="F173" t="s">
        <v>364</v>
      </c>
      <c r="G173" t="s">
        <v>365</v>
      </c>
    </row>
    <row r="174" spans="1:7" x14ac:dyDescent="0.25">
      <c r="A174" t="str">
        <f>"93581448B9"</f>
        <v>93581448B9</v>
      </c>
      <c r="B174" t="s">
        <v>9</v>
      </c>
      <c r="C174" t="s">
        <v>366</v>
      </c>
      <c r="D174" t="s">
        <v>30</v>
      </c>
    </row>
    <row r="175" spans="1:7" x14ac:dyDescent="0.25">
      <c r="A175" t="str">
        <f>"9155040202"</f>
        <v>9155040202</v>
      </c>
      <c r="B175" t="s">
        <v>9</v>
      </c>
      <c r="C175" t="s">
        <v>367</v>
      </c>
      <c r="D175" t="s">
        <v>30</v>
      </c>
      <c r="E175" t="s">
        <v>368</v>
      </c>
      <c r="F175" t="s">
        <v>368</v>
      </c>
      <c r="G175" t="s">
        <v>369</v>
      </c>
    </row>
    <row r="176" spans="1:7" x14ac:dyDescent="0.25">
      <c r="A176" t="str">
        <f>"9008837778"</f>
        <v>9008837778</v>
      </c>
      <c r="B176" t="s">
        <v>9</v>
      </c>
      <c r="C176" t="s">
        <v>370</v>
      </c>
      <c r="D176" t="s">
        <v>15</v>
      </c>
      <c r="E176" t="s">
        <v>371</v>
      </c>
      <c r="F176" t="s">
        <v>372</v>
      </c>
      <c r="G176" t="s">
        <v>373</v>
      </c>
    </row>
    <row r="177" spans="1:9" x14ac:dyDescent="0.25">
      <c r="A177" t="str">
        <f>"9413332F4B"</f>
        <v>9413332F4B</v>
      </c>
      <c r="B177" t="s">
        <v>9</v>
      </c>
      <c r="C177" t="s">
        <v>374</v>
      </c>
      <c r="D177" t="s">
        <v>30</v>
      </c>
    </row>
    <row r="178" spans="1:9" x14ac:dyDescent="0.25">
      <c r="A178" t="str">
        <f>"907710472E"</f>
        <v>907710472E</v>
      </c>
      <c r="B178" t="s">
        <v>9</v>
      </c>
      <c r="C178" t="s">
        <v>375</v>
      </c>
      <c r="D178" t="s">
        <v>11</v>
      </c>
      <c r="E178" t="s">
        <v>33</v>
      </c>
      <c r="F178" t="s">
        <v>33</v>
      </c>
      <c r="G178" t="s">
        <v>376</v>
      </c>
    </row>
    <row r="179" spans="1:9" x14ac:dyDescent="0.25">
      <c r="A179" t="str">
        <f>"9461009F99"</f>
        <v>9461009F99</v>
      </c>
      <c r="B179" t="s">
        <v>9</v>
      </c>
      <c r="C179" t="s">
        <v>377</v>
      </c>
      <c r="D179" t="s">
        <v>11</v>
      </c>
      <c r="E179" t="s">
        <v>33</v>
      </c>
      <c r="F179" t="s">
        <v>33</v>
      </c>
      <c r="G179" t="s">
        <v>378</v>
      </c>
    </row>
    <row r="180" spans="1:9" x14ac:dyDescent="0.25">
      <c r="A180" t="str">
        <f>"88928579BE"</f>
        <v>88928579BE</v>
      </c>
      <c r="B180" t="s">
        <v>9</v>
      </c>
      <c r="C180" t="s">
        <v>115</v>
      </c>
      <c r="D180" t="s">
        <v>11</v>
      </c>
      <c r="E180" t="s">
        <v>75</v>
      </c>
      <c r="F180" t="s">
        <v>75</v>
      </c>
      <c r="G180" t="s">
        <v>327</v>
      </c>
    </row>
    <row r="181" spans="1:9" x14ac:dyDescent="0.25">
      <c r="A181" t="str">
        <f>"9442683C82"</f>
        <v>9442683C82</v>
      </c>
      <c r="B181" t="s">
        <v>9</v>
      </c>
      <c r="C181" t="s">
        <v>379</v>
      </c>
      <c r="D181" t="s">
        <v>11</v>
      </c>
      <c r="E181" t="s">
        <v>244</v>
      </c>
      <c r="F181" t="s">
        <v>244</v>
      </c>
      <c r="G181" t="s">
        <v>380</v>
      </c>
    </row>
    <row r="182" spans="1:9" x14ac:dyDescent="0.25">
      <c r="A182" t="str">
        <f>"9066204438"</f>
        <v>9066204438</v>
      </c>
      <c r="B182" t="s">
        <v>9</v>
      </c>
      <c r="C182" t="s">
        <v>381</v>
      </c>
      <c r="D182" t="s">
        <v>30</v>
      </c>
      <c r="E182" t="s">
        <v>135</v>
      </c>
      <c r="F182" t="s">
        <v>135</v>
      </c>
      <c r="G182" t="s">
        <v>382</v>
      </c>
    </row>
    <row r="183" spans="1:9" x14ac:dyDescent="0.25">
      <c r="A183" t="str">
        <f>"9388088F49"</f>
        <v>9388088F49</v>
      </c>
      <c r="B183" t="s">
        <v>9</v>
      </c>
      <c r="C183" t="s">
        <v>383</v>
      </c>
      <c r="D183" t="s">
        <v>30</v>
      </c>
    </row>
    <row r="184" spans="1:9" x14ac:dyDescent="0.25">
      <c r="A184" t="str">
        <f>"92767990B7"</f>
        <v>92767990B7</v>
      </c>
      <c r="B184" t="s">
        <v>9</v>
      </c>
      <c r="C184" t="s">
        <v>384</v>
      </c>
      <c r="D184" t="s">
        <v>30</v>
      </c>
      <c r="E184" t="s">
        <v>385</v>
      </c>
      <c r="F184" t="s">
        <v>385</v>
      </c>
      <c r="G184" t="s">
        <v>386</v>
      </c>
    </row>
    <row r="185" spans="1:9" x14ac:dyDescent="0.25">
      <c r="A185" t="str">
        <f>"9321778E8B"</f>
        <v>9321778E8B</v>
      </c>
      <c r="B185" t="s">
        <v>9</v>
      </c>
      <c r="C185" t="s">
        <v>387</v>
      </c>
      <c r="D185" t="s">
        <v>30</v>
      </c>
    </row>
    <row r="186" spans="1:9" x14ac:dyDescent="0.25">
      <c r="A186" t="str">
        <f>"9255372E94"</f>
        <v>9255372E94</v>
      </c>
      <c r="B186" t="s">
        <v>9</v>
      </c>
      <c r="C186" t="s">
        <v>388</v>
      </c>
      <c r="D186" t="s">
        <v>30</v>
      </c>
    </row>
    <row r="187" spans="1:9" x14ac:dyDescent="0.25">
      <c r="A187" t="str">
        <f>"948110575A"</f>
        <v>948110575A</v>
      </c>
      <c r="B187" t="s">
        <v>9</v>
      </c>
      <c r="C187" t="s">
        <v>389</v>
      </c>
      <c r="D187" t="s">
        <v>30</v>
      </c>
      <c r="E187" t="s">
        <v>390</v>
      </c>
      <c r="F187" t="s">
        <v>390</v>
      </c>
      <c r="G187" t="s">
        <v>391</v>
      </c>
    </row>
    <row r="188" spans="1:9" x14ac:dyDescent="0.25">
      <c r="A188" t="str">
        <f>"932085982B"</f>
        <v>932085982B</v>
      </c>
      <c r="B188" t="s">
        <v>9</v>
      </c>
      <c r="C188" t="s">
        <v>392</v>
      </c>
      <c r="D188" t="s">
        <v>30</v>
      </c>
    </row>
    <row r="189" spans="1:9" x14ac:dyDescent="0.25">
      <c r="A189" t="str">
        <f>"9322141A1B"</f>
        <v>9322141A1B</v>
      </c>
      <c r="B189" t="s">
        <v>9</v>
      </c>
      <c r="C189" t="s">
        <v>393</v>
      </c>
      <c r="D189" t="s">
        <v>30</v>
      </c>
    </row>
    <row r="190" spans="1:9" x14ac:dyDescent="0.25">
      <c r="A190" t="str">
        <f>"9118407B7D"</f>
        <v>9118407B7D</v>
      </c>
      <c r="B190" t="s">
        <v>9</v>
      </c>
      <c r="C190" t="s">
        <v>394</v>
      </c>
      <c r="D190" t="s">
        <v>30</v>
      </c>
      <c r="E190" t="s">
        <v>395</v>
      </c>
      <c r="F190" t="s">
        <v>395</v>
      </c>
      <c r="G190" t="s">
        <v>396</v>
      </c>
      <c r="I190" t="s">
        <v>397</v>
      </c>
    </row>
    <row r="191" spans="1:9" x14ac:dyDescent="0.25">
      <c r="A191" t="str">
        <f>"9405618184"</f>
        <v>9405618184</v>
      </c>
      <c r="B191" t="s">
        <v>9</v>
      </c>
      <c r="C191" t="s">
        <v>398</v>
      </c>
      <c r="D191" t="s">
        <v>30</v>
      </c>
    </row>
    <row r="192" spans="1:9" x14ac:dyDescent="0.25">
      <c r="A192" t="str">
        <f>"912980596B"</f>
        <v>912980596B</v>
      </c>
      <c r="B192" t="s">
        <v>9</v>
      </c>
      <c r="C192" t="s">
        <v>399</v>
      </c>
      <c r="D192" t="s">
        <v>30</v>
      </c>
      <c r="E192" t="s">
        <v>400</v>
      </c>
      <c r="F192" t="s">
        <v>400</v>
      </c>
      <c r="G192" t="s">
        <v>401</v>
      </c>
    </row>
    <row r="193" spans="1:7" x14ac:dyDescent="0.25">
      <c r="A193" t="str">
        <f>"90827878F0"</f>
        <v>90827878F0</v>
      </c>
      <c r="B193" t="s">
        <v>9</v>
      </c>
      <c r="C193" t="s">
        <v>402</v>
      </c>
      <c r="D193" t="s">
        <v>30</v>
      </c>
      <c r="E193" t="s">
        <v>123</v>
      </c>
      <c r="F193" t="s">
        <v>123</v>
      </c>
      <c r="G193" t="s">
        <v>403</v>
      </c>
    </row>
    <row r="194" spans="1:7" x14ac:dyDescent="0.25">
      <c r="A194" t="str">
        <f>"9275652E2A"</f>
        <v>9275652E2A</v>
      </c>
      <c r="B194" t="s">
        <v>9</v>
      </c>
      <c r="C194" t="s">
        <v>404</v>
      </c>
      <c r="D194" t="s">
        <v>30</v>
      </c>
      <c r="E194" t="s">
        <v>405</v>
      </c>
      <c r="F194" t="s">
        <v>405</v>
      </c>
      <c r="G194" t="s">
        <v>406</v>
      </c>
    </row>
    <row r="195" spans="1:7" x14ac:dyDescent="0.25">
      <c r="A195" t="str">
        <f>"942414172C"</f>
        <v>942414172C</v>
      </c>
      <c r="B195" t="s">
        <v>9</v>
      </c>
      <c r="C195" t="s">
        <v>407</v>
      </c>
      <c r="D195" t="s">
        <v>30</v>
      </c>
      <c r="E195" t="s">
        <v>408</v>
      </c>
      <c r="F195" t="s">
        <v>409</v>
      </c>
      <c r="G195" t="s">
        <v>281</v>
      </c>
    </row>
    <row r="196" spans="1:7" x14ac:dyDescent="0.25">
      <c r="A196" t="str">
        <f>"906399012C"</f>
        <v>906399012C</v>
      </c>
      <c r="B196" t="s">
        <v>9</v>
      </c>
      <c r="C196" t="s">
        <v>410</v>
      </c>
      <c r="D196" t="s">
        <v>30</v>
      </c>
      <c r="E196" t="s">
        <v>411</v>
      </c>
      <c r="F196" t="s">
        <v>411</v>
      </c>
      <c r="G196" t="s">
        <v>412</v>
      </c>
    </row>
    <row r="197" spans="1:7" x14ac:dyDescent="0.25">
      <c r="A197" t="str">
        <f>"95303884F9"</f>
        <v>95303884F9</v>
      </c>
      <c r="B197" t="s">
        <v>9</v>
      </c>
      <c r="C197" t="s">
        <v>413</v>
      </c>
      <c r="D197" t="s">
        <v>30</v>
      </c>
      <c r="E197" t="s">
        <v>414</v>
      </c>
      <c r="F197" t="s">
        <v>414</v>
      </c>
      <c r="G197" t="s">
        <v>415</v>
      </c>
    </row>
    <row r="198" spans="1:7" x14ac:dyDescent="0.25">
      <c r="A198" t="str">
        <f>"9266153F57"</f>
        <v>9266153F57</v>
      </c>
      <c r="B198" t="s">
        <v>9</v>
      </c>
      <c r="C198" t="s">
        <v>416</v>
      </c>
      <c r="D198" t="s">
        <v>30</v>
      </c>
    </row>
    <row r="199" spans="1:7" x14ac:dyDescent="0.25">
      <c r="A199" t="str">
        <f>"9306770D8D"</f>
        <v>9306770D8D</v>
      </c>
      <c r="B199" t="s">
        <v>9</v>
      </c>
      <c r="C199" t="s">
        <v>417</v>
      </c>
      <c r="D199" t="s">
        <v>30</v>
      </c>
    </row>
    <row r="200" spans="1:7" x14ac:dyDescent="0.25">
      <c r="A200" t="str">
        <f>"8950957363"</f>
        <v>8950957363</v>
      </c>
      <c r="B200" t="s">
        <v>9</v>
      </c>
      <c r="C200" t="s">
        <v>418</v>
      </c>
      <c r="D200" t="s">
        <v>30</v>
      </c>
      <c r="E200" t="s">
        <v>419</v>
      </c>
      <c r="F200" t="s">
        <v>419</v>
      </c>
      <c r="G200" t="s">
        <v>420</v>
      </c>
    </row>
    <row r="201" spans="1:7" x14ac:dyDescent="0.25">
      <c r="A201" t="str">
        <f>"94245107AE"</f>
        <v>94245107AE</v>
      </c>
      <c r="B201" t="s">
        <v>9</v>
      </c>
      <c r="C201" t="s">
        <v>421</v>
      </c>
      <c r="D201" t="s">
        <v>30</v>
      </c>
    </row>
    <row r="202" spans="1:7" x14ac:dyDescent="0.25">
      <c r="A202" t="str">
        <f>"9170865535"</f>
        <v>9170865535</v>
      </c>
      <c r="B202" t="s">
        <v>9</v>
      </c>
      <c r="C202" t="s">
        <v>422</v>
      </c>
      <c r="D202" t="s">
        <v>30</v>
      </c>
      <c r="E202" t="s">
        <v>96</v>
      </c>
      <c r="F202" t="s">
        <v>96</v>
      </c>
      <c r="G202" t="s">
        <v>423</v>
      </c>
    </row>
    <row r="203" spans="1:7" x14ac:dyDescent="0.25">
      <c r="A203" t="str">
        <f>"93131194EC"</f>
        <v>93131194EC</v>
      </c>
      <c r="B203" t="s">
        <v>9</v>
      </c>
      <c r="C203" t="s">
        <v>424</v>
      </c>
      <c r="D203" t="s">
        <v>30</v>
      </c>
    </row>
    <row r="204" spans="1:7" x14ac:dyDescent="0.25">
      <c r="A204" t="str">
        <f>"91412405E2"</f>
        <v>91412405E2</v>
      </c>
      <c r="B204" t="s">
        <v>9</v>
      </c>
      <c r="C204" t="s">
        <v>425</v>
      </c>
      <c r="D204" t="s">
        <v>30</v>
      </c>
      <c r="E204" t="s">
        <v>244</v>
      </c>
      <c r="F204" t="s">
        <v>244</v>
      </c>
      <c r="G204" t="s">
        <v>426</v>
      </c>
    </row>
    <row r="205" spans="1:7" x14ac:dyDescent="0.25">
      <c r="A205" t="str">
        <f>"93665788AE"</f>
        <v>93665788AE</v>
      </c>
      <c r="B205" t="s">
        <v>9</v>
      </c>
      <c r="C205" t="s">
        <v>427</v>
      </c>
      <c r="D205" t="s">
        <v>30</v>
      </c>
    </row>
    <row r="206" spans="1:7" x14ac:dyDescent="0.25">
      <c r="A206" t="str">
        <f>"9233674CD3"</f>
        <v>9233674CD3</v>
      </c>
      <c r="B206" t="s">
        <v>9</v>
      </c>
      <c r="C206" t="s">
        <v>428</v>
      </c>
      <c r="D206" t="s">
        <v>30</v>
      </c>
    </row>
    <row r="207" spans="1:7" x14ac:dyDescent="0.25">
      <c r="A207" t="str">
        <f>"92548564C6"</f>
        <v>92548564C6</v>
      </c>
      <c r="B207" t="s">
        <v>9</v>
      </c>
      <c r="C207" t="s">
        <v>429</v>
      </c>
      <c r="D207" t="s">
        <v>30</v>
      </c>
    </row>
    <row r="208" spans="1:7" x14ac:dyDescent="0.25">
      <c r="A208" t="str">
        <f>"92168598A7"</f>
        <v>92168598A7</v>
      </c>
      <c r="B208" t="s">
        <v>9</v>
      </c>
      <c r="C208" t="s">
        <v>430</v>
      </c>
      <c r="D208" t="s">
        <v>30</v>
      </c>
      <c r="E208" t="s">
        <v>431</v>
      </c>
      <c r="F208" t="s">
        <v>431</v>
      </c>
      <c r="G208" t="s">
        <v>432</v>
      </c>
    </row>
    <row r="209" spans="1:7" x14ac:dyDescent="0.25">
      <c r="A209" t="str">
        <f>"9247628809"</f>
        <v>9247628809</v>
      </c>
      <c r="B209" t="s">
        <v>9</v>
      </c>
      <c r="C209" t="s">
        <v>433</v>
      </c>
      <c r="D209" t="s">
        <v>30</v>
      </c>
    </row>
    <row r="210" spans="1:7" x14ac:dyDescent="0.25">
      <c r="A210" t="str">
        <f>"9417418B2C"</f>
        <v>9417418B2C</v>
      </c>
      <c r="B210" t="s">
        <v>9</v>
      </c>
      <c r="C210" t="s">
        <v>434</v>
      </c>
      <c r="D210" t="s">
        <v>30</v>
      </c>
    </row>
    <row r="211" spans="1:7" x14ac:dyDescent="0.25">
      <c r="A211" t="str">
        <f>"9551145E2E"</f>
        <v>9551145E2E</v>
      </c>
      <c r="B211" t="s">
        <v>9</v>
      </c>
      <c r="C211" t="s">
        <v>435</v>
      </c>
      <c r="D211" t="s">
        <v>30</v>
      </c>
      <c r="E211" t="s">
        <v>436</v>
      </c>
      <c r="F211" t="s">
        <v>436</v>
      </c>
      <c r="G211" t="s">
        <v>437</v>
      </c>
    </row>
    <row r="212" spans="1:7" x14ac:dyDescent="0.25">
      <c r="A212" t="str">
        <f>"906203108E"</f>
        <v>906203108E</v>
      </c>
      <c r="B212" t="s">
        <v>9</v>
      </c>
      <c r="C212" t="s">
        <v>438</v>
      </c>
      <c r="D212" t="s">
        <v>30</v>
      </c>
      <c r="E212" t="s">
        <v>439</v>
      </c>
      <c r="F212" t="s">
        <v>439</v>
      </c>
      <c r="G212" t="s">
        <v>440</v>
      </c>
    </row>
    <row r="213" spans="1:7" x14ac:dyDescent="0.25">
      <c r="A213" t="str">
        <f>"9338944463"</f>
        <v>9338944463</v>
      </c>
      <c r="B213" t="s">
        <v>9</v>
      </c>
      <c r="C213" t="s">
        <v>441</v>
      </c>
      <c r="D213" t="s">
        <v>30</v>
      </c>
      <c r="E213" t="s">
        <v>442</v>
      </c>
      <c r="F213" t="s">
        <v>442</v>
      </c>
      <c r="G213" t="s">
        <v>443</v>
      </c>
    </row>
    <row r="214" spans="1:7" x14ac:dyDescent="0.25">
      <c r="A214" t="str">
        <f>"953075215C"</f>
        <v>953075215C</v>
      </c>
      <c r="B214" t="s">
        <v>9</v>
      </c>
      <c r="C214" t="s">
        <v>444</v>
      </c>
      <c r="D214" t="s">
        <v>30</v>
      </c>
      <c r="E214" t="s">
        <v>445</v>
      </c>
      <c r="F214" t="s">
        <v>445</v>
      </c>
      <c r="G214" t="s">
        <v>446</v>
      </c>
    </row>
    <row r="215" spans="1:7" x14ac:dyDescent="0.25">
      <c r="A215" t="str">
        <f>"9296970658"</f>
        <v>9296970658</v>
      </c>
      <c r="B215" t="s">
        <v>9</v>
      </c>
      <c r="C215" t="s">
        <v>447</v>
      </c>
      <c r="D215" t="s">
        <v>30</v>
      </c>
    </row>
    <row r="216" spans="1:7" x14ac:dyDescent="0.25">
      <c r="A216" t="str">
        <f>"927381523D"</f>
        <v>927381523D</v>
      </c>
      <c r="B216" t="s">
        <v>9</v>
      </c>
      <c r="C216" t="s">
        <v>448</v>
      </c>
      <c r="D216" t="s">
        <v>30</v>
      </c>
    </row>
    <row r="217" spans="1:7" x14ac:dyDescent="0.25">
      <c r="A217" t="str">
        <f>"9457572B4D"</f>
        <v>9457572B4D</v>
      </c>
      <c r="B217" t="s">
        <v>9</v>
      </c>
      <c r="C217" t="s">
        <v>449</v>
      </c>
      <c r="D217" t="s">
        <v>30</v>
      </c>
      <c r="E217" t="s">
        <v>450</v>
      </c>
      <c r="F217" t="s">
        <v>450</v>
      </c>
      <c r="G217" t="s">
        <v>451</v>
      </c>
    </row>
    <row r="218" spans="1:7" x14ac:dyDescent="0.25">
      <c r="A218" t="str">
        <f>"9457615EC8"</f>
        <v>9457615EC8</v>
      </c>
      <c r="B218" t="s">
        <v>9</v>
      </c>
      <c r="C218" t="s">
        <v>452</v>
      </c>
      <c r="D218" t="s">
        <v>30</v>
      </c>
      <c r="E218" t="s">
        <v>96</v>
      </c>
      <c r="F218" t="s">
        <v>96</v>
      </c>
      <c r="G218" t="s">
        <v>453</v>
      </c>
    </row>
    <row r="219" spans="1:7" x14ac:dyDescent="0.25">
      <c r="A219" t="str">
        <f>"9069351933"</f>
        <v>9069351933</v>
      </c>
      <c r="B219" t="s">
        <v>9</v>
      </c>
      <c r="C219" t="s">
        <v>454</v>
      </c>
      <c r="D219" t="s">
        <v>30</v>
      </c>
      <c r="E219" t="s">
        <v>191</v>
      </c>
      <c r="F219" t="s">
        <v>191</v>
      </c>
      <c r="G219" t="s">
        <v>358</v>
      </c>
    </row>
    <row r="220" spans="1:7" x14ac:dyDescent="0.25">
      <c r="A220" t="str">
        <f>"9088316B9C"</f>
        <v>9088316B9C</v>
      </c>
      <c r="B220" t="s">
        <v>9</v>
      </c>
      <c r="C220" t="s">
        <v>455</v>
      </c>
      <c r="D220" t="s">
        <v>30</v>
      </c>
      <c r="E220" t="s">
        <v>456</v>
      </c>
      <c r="F220" t="s">
        <v>456</v>
      </c>
      <c r="G220" t="s">
        <v>457</v>
      </c>
    </row>
    <row r="221" spans="1:7" x14ac:dyDescent="0.25">
      <c r="A221" t="str">
        <f>"90861743FC"</f>
        <v>90861743FC</v>
      </c>
      <c r="B221" t="s">
        <v>9</v>
      </c>
      <c r="C221" t="s">
        <v>458</v>
      </c>
      <c r="D221" t="s">
        <v>30</v>
      </c>
      <c r="E221" t="s">
        <v>459</v>
      </c>
      <c r="F221" t="s">
        <v>459</v>
      </c>
      <c r="G221" t="s">
        <v>460</v>
      </c>
    </row>
    <row r="222" spans="1:7" x14ac:dyDescent="0.25">
      <c r="A222" t="str">
        <f>"9546083CE3"</f>
        <v>9546083CE3</v>
      </c>
      <c r="B222" t="s">
        <v>9</v>
      </c>
      <c r="C222" t="s">
        <v>461</v>
      </c>
      <c r="D222" t="s">
        <v>30</v>
      </c>
      <c r="E222" t="s">
        <v>462</v>
      </c>
      <c r="F222" t="s">
        <v>462</v>
      </c>
      <c r="G222" t="s">
        <v>463</v>
      </c>
    </row>
    <row r="223" spans="1:7" x14ac:dyDescent="0.25">
      <c r="A223" t="str">
        <f>"921991528D"</f>
        <v>921991528D</v>
      </c>
      <c r="B223" t="s">
        <v>9</v>
      </c>
      <c r="C223" t="s">
        <v>464</v>
      </c>
      <c r="D223" t="s">
        <v>30</v>
      </c>
    </row>
    <row r="224" spans="1:7" x14ac:dyDescent="0.25">
      <c r="A224" t="str">
        <f>"9171607985"</f>
        <v>9171607985</v>
      </c>
      <c r="B224" t="s">
        <v>9</v>
      </c>
      <c r="C224" t="s">
        <v>465</v>
      </c>
      <c r="D224" t="s">
        <v>30</v>
      </c>
      <c r="E224" t="s">
        <v>466</v>
      </c>
      <c r="F224" t="s">
        <v>466</v>
      </c>
      <c r="G224" t="s">
        <v>467</v>
      </c>
    </row>
    <row r="225" spans="1:7" x14ac:dyDescent="0.25">
      <c r="A225" t="str">
        <f>"92741094DA"</f>
        <v>92741094DA</v>
      </c>
      <c r="B225" t="s">
        <v>9</v>
      </c>
      <c r="C225" t="s">
        <v>468</v>
      </c>
      <c r="D225" t="s">
        <v>30</v>
      </c>
    </row>
    <row r="226" spans="1:7" x14ac:dyDescent="0.25">
      <c r="A226" t="str">
        <f>"92231819BB"</f>
        <v>92231819BB</v>
      </c>
      <c r="B226" t="s">
        <v>9</v>
      </c>
      <c r="C226" t="s">
        <v>469</v>
      </c>
      <c r="D226" t="s">
        <v>30</v>
      </c>
    </row>
    <row r="227" spans="1:7" x14ac:dyDescent="0.25">
      <c r="A227" t="str">
        <f>"8994553BEF"</f>
        <v>8994553BEF</v>
      </c>
      <c r="B227" t="s">
        <v>9</v>
      </c>
      <c r="C227" t="s">
        <v>470</v>
      </c>
      <c r="D227" t="s">
        <v>30</v>
      </c>
      <c r="E227" t="s">
        <v>33</v>
      </c>
      <c r="F227" t="s">
        <v>33</v>
      </c>
      <c r="G227" t="s">
        <v>471</v>
      </c>
    </row>
    <row r="228" spans="1:7" x14ac:dyDescent="0.25">
      <c r="A228" t="str">
        <f>"9082738083"</f>
        <v>9082738083</v>
      </c>
      <c r="B228" t="s">
        <v>9</v>
      </c>
      <c r="C228" t="s">
        <v>472</v>
      </c>
      <c r="D228" t="s">
        <v>30</v>
      </c>
      <c r="E228" t="s">
        <v>197</v>
      </c>
      <c r="F228" t="s">
        <v>197</v>
      </c>
      <c r="G228" t="s">
        <v>473</v>
      </c>
    </row>
    <row r="229" spans="1:7" x14ac:dyDescent="0.25">
      <c r="A229" t="str">
        <f>"8994598115"</f>
        <v>8994598115</v>
      </c>
      <c r="B229" t="s">
        <v>9</v>
      </c>
      <c r="C229" t="s">
        <v>474</v>
      </c>
      <c r="D229" t="s">
        <v>30</v>
      </c>
    </row>
    <row r="230" spans="1:7" x14ac:dyDescent="0.25">
      <c r="A230" t="str">
        <f>"8733310B64"</f>
        <v>8733310B64</v>
      </c>
      <c r="B230" t="s">
        <v>9</v>
      </c>
      <c r="C230" t="s">
        <v>475</v>
      </c>
      <c r="D230" t="s">
        <v>30</v>
      </c>
      <c r="E230" t="s">
        <v>476</v>
      </c>
      <c r="F230" t="s">
        <v>476</v>
      </c>
      <c r="G230" t="s">
        <v>477</v>
      </c>
    </row>
    <row r="231" spans="1:7" x14ac:dyDescent="0.25">
      <c r="A231" t="str">
        <f>"94484893C8"</f>
        <v>94484893C8</v>
      </c>
      <c r="B231" t="s">
        <v>9</v>
      </c>
      <c r="C231" t="s">
        <v>478</v>
      </c>
      <c r="D231" t="s">
        <v>30</v>
      </c>
      <c r="E231" t="s">
        <v>479</v>
      </c>
      <c r="F231" t="s">
        <v>479</v>
      </c>
      <c r="G231" t="s">
        <v>480</v>
      </c>
    </row>
    <row r="232" spans="1:7" x14ac:dyDescent="0.25">
      <c r="A232" t="str">
        <f>"89295100C4"</f>
        <v>89295100C4</v>
      </c>
      <c r="B232" t="s">
        <v>9</v>
      </c>
      <c r="C232" t="s">
        <v>481</v>
      </c>
      <c r="D232" t="s">
        <v>30</v>
      </c>
      <c r="E232" t="s">
        <v>482</v>
      </c>
      <c r="F232" t="s">
        <v>482</v>
      </c>
      <c r="G232" t="s">
        <v>483</v>
      </c>
    </row>
    <row r="233" spans="1:7" x14ac:dyDescent="0.25">
      <c r="A233" t="str">
        <f>"Z602FA80ED"</f>
        <v>Z602FA80ED</v>
      </c>
      <c r="B233" t="s">
        <v>9</v>
      </c>
      <c r="C233" t="s">
        <v>484</v>
      </c>
      <c r="D233" t="s">
        <v>30</v>
      </c>
      <c r="E233" t="s">
        <v>485</v>
      </c>
      <c r="F233" t="s">
        <v>485</v>
      </c>
      <c r="G233" t="s">
        <v>486</v>
      </c>
    </row>
    <row r="234" spans="1:7" x14ac:dyDescent="0.25">
      <c r="A234" t="str">
        <f>"8725250015"</f>
        <v>8725250015</v>
      </c>
      <c r="B234" t="s">
        <v>9</v>
      </c>
      <c r="C234" t="s">
        <v>487</v>
      </c>
      <c r="D234" t="s">
        <v>30</v>
      </c>
      <c r="E234" t="s">
        <v>431</v>
      </c>
      <c r="F234" t="s">
        <v>431</v>
      </c>
      <c r="G234" t="s">
        <v>432</v>
      </c>
    </row>
    <row r="235" spans="1:7" x14ac:dyDescent="0.25">
      <c r="A235" t="str">
        <f>"89546857D3"</f>
        <v>89546857D3</v>
      </c>
      <c r="B235" t="s">
        <v>9</v>
      </c>
      <c r="C235" t="s">
        <v>488</v>
      </c>
      <c r="D235" t="s">
        <v>30</v>
      </c>
      <c r="E235" t="s">
        <v>489</v>
      </c>
      <c r="F235" t="s">
        <v>489</v>
      </c>
      <c r="G235" t="s">
        <v>490</v>
      </c>
    </row>
    <row r="236" spans="1:7" x14ac:dyDescent="0.25">
      <c r="A236" t="str">
        <f>"8841953271"</f>
        <v>8841953271</v>
      </c>
      <c r="B236" t="s">
        <v>9</v>
      </c>
      <c r="C236" t="s">
        <v>491</v>
      </c>
      <c r="D236" t="s">
        <v>30</v>
      </c>
      <c r="E236" t="s">
        <v>492</v>
      </c>
      <c r="F236" t="s">
        <v>492</v>
      </c>
      <c r="G236" t="s">
        <v>493</v>
      </c>
    </row>
    <row r="237" spans="1:7" x14ac:dyDescent="0.25">
      <c r="A237" t="str">
        <f>"8688258151"</f>
        <v>8688258151</v>
      </c>
      <c r="B237" t="s">
        <v>9</v>
      </c>
      <c r="C237" t="s">
        <v>494</v>
      </c>
      <c r="D237" t="s">
        <v>30</v>
      </c>
      <c r="E237" t="s">
        <v>495</v>
      </c>
      <c r="F237" t="s">
        <v>495</v>
      </c>
      <c r="G237" t="s">
        <v>496</v>
      </c>
    </row>
    <row r="238" spans="1:7" x14ac:dyDescent="0.25">
      <c r="A238" t="str">
        <f>"86883827A3"</f>
        <v>86883827A3</v>
      </c>
      <c r="B238" t="s">
        <v>9</v>
      </c>
      <c r="C238" t="s">
        <v>497</v>
      </c>
      <c r="D238" t="s">
        <v>30</v>
      </c>
      <c r="E238" t="s">
        <v>96</v>
      </c>
      <c r="F238" t="s">
        <v>96</v>
      </c>
      <c r="G238" t="s">
        <v>498</v>
      </c>
    </row>
    <row r="239" spans="1:7" x14ac:dyDescent="0.25">
      <c r="A239" t="str">
        <f>"9010939E16"</f>
        <v>9010939E16</v>
      </c>
      <c r="B239" t="s">
        <v>9</v>
      </c>
      <c r="C239" t="s">
        <v>499</v>
      </c>
      <c r="D239" t="s">
        <v>30</v>
      </c>
      <c r="E239" t="s">
        <v>33</v>
      </c>
      <c r="F239" t="s">
        <v>33</v>
      </c>
      <c r="G239" t="s">
        <v>500</v>
      </c>
    </row>
    <row r="240" spans="1:7" x14ac:dyDescent="0.25">
      <c r="A240" t="str">
        <f>"863302773F"</f>
        <v>863302773F</v>
      </c>
      <c r="B240" t="s">
        <v>9</v>
      </c>
      <c r="C240" t="s">
        <v>501</v>
      </c>
      <c r="D240" t="s">
        <v>30</v>
      </c>
      <c r="E240" t="s">
        <v>152</v>
      </c>
      <c r="F240" t="s">
        <v>152</v>
      </c>
      <c r="G240" t="s">
        <v>502</v>
      </c>
    </row>
    <row r="241" spans="1:7" x14ac:dyDescent="0.25">
      <c r="A241" t="str">
        <f>"86419613D2"</f>
        <v>86419613D2</v>
      </c>
      <c r="B241" t="s">
        <v>9</v>
      </c>
      <c r="C241" t="s">
        <v>503</v>
      </c>
      <c r="D241" t="s">
        <v>30</v>
      </c>
      <c r="E241" t="s">
        <v>222</v>
      </c>
      <c r="F241" t="s">
        <v>222</v>
      </c>
      <c r="G241" t="s">
        <v>504</v>
      </c>
    </row>
    <row r="242" spans="1:7" x14ac:dyDescent="0.25">
      <c r="A242" t="str">
        <f>"89029491EF"</f>
        <v>89029491EF</v>
      </c>
      <c r="B242" t="s">
        <v>9</v>
      </c>
      <c r="C242" t="s">
        <v>505</v>
      </c>
      <c r="D242" t="s">
        <v>30</v>
      </c>
      <c r="E242" t="s">
        <v>36</v>
      </c>
      <c r="F242" t="s">
        <v>36</v>
      </c>
      <c r="G242" t="s">
        <v>506</v>
      </c>
    </row>
    <row r="243" spans="1:7" x14ac:dyDescent="0.25">
      <c r="A243" t="str">
        <f>"8748554F22"</f>
        <v>8748554F22</v>
      </c>
      <c r="B243" t="s">
        <v>9</v>
      </c>
      <c r="C243" t="s">
        <v>507</v>
      </c>
      <c r="D243" t="s">
        <v>30</v>
      </c>
      <c r="E243" t="s">
        <v>508</v>
      </c>
      <c r="F243" t="s">
        <v>508</v>
      </c>
      <c r="G243" t="s">
        <v>509</v>
      </c>
    </row>
    <row r="244" spans="1:7" x14ac:dyDescent="0.25">
      <c r="A244" t="str">
        <f>"8846870C11"</f>
        <v>8846870C11</v>
      </c>
      <c r="B244" t="s">
        <v>9</v>
      </c>
      <c r="C244" t="s">
        <v>510</v>
      </c>
      <c r="D244" t="s">
        <v>30</v>
      </c>
      <c r="E244" t="s">
        <v>152</v>
      </c>
      <c r="F244" t="s">
        <v>152</v>
      </c>
      <c r="G244" t="s">
        <v>511</v>
      </c>
    </row>
    <row r="245" spans="1:7" x14ac:dyDescent="0.25">
      <c r="A245" t="str">
        <f>"884191209C"</f>
        <v>884191209C</v>
      </c>
      <c r="B245" t="s">
        <v>9</v>
      </c>
      <c r="C245" t="s">
        <v>512</v>
      </c>
      <c r="D245" t="s">
        <v>30</v>
      </c>
      <c r="E245" t="s">
        <v>513</v>
      </c>
      <c r="F245" t="s">
        <v>513</v>
      </c>
      <c r="G245" t="s">
        <v>345</v>
      </c>
    </row>
    <row r="246" spans="1:7" x14ac:dyDescent="0.25">
      <c r="A246" t="str">
        <f>"9027765B58"</f>
        <v>9027765B58</v>
      </c>
      <c r="B246" t="s">
        <v>9</v>
      </c>
      <c r="C246" t="s">
        <v>514</v>
      </c>
      <c r="D246" t="s">
        <v>30</v>
      </c>
      <c r="E246" t="s">
        <v>181</v>
      </c>
      <c r="F246" t="s">
        <v>181</v>
      </c>
      <c r="G246" t="s">
        <v>515</v>
      </c>
    </row>
    <row r="247" spans="1:7" x14ac:dyDescent="0.25">
      <c r="A247" t="str">
        <f>"8961726A3D"</f>
        <v>8961726A3D</v>
      </c>
      <c r="B247" t="s">
        <v>9</v>
      </c>
      <c r="C247" t="s">
        <v>516</v>
      </c>
      <c r="D247" t="s">
        <v>30</v>
      </c>
      <c r="E247" t="s">
        <v>517</v>
      </c>
      <c r="F247" t="s">
        <v>517</v>
      </c>
      <c r="G247" t="s">
        <v>518</v>
      </c>
    </row>
    <row r="248" spans="1:7" x14ac:dyDescent="0.25">
      <c r="A248" t="str">
        <f>"8618876978"</f>
        <v>8618876978</v>
      </c>
      <c r="B248" t="s">
        <v>9</v>
      </c>
      <c r="C248" t="s">
        <v>519</v>
      </c>
      <c r="D248" t="s">
        <v>30</v>
      </c>
      <c r="E248" t="s">
        <v>520</v>
      </c>
      <c r="F248" t="s">
        <v>520</v>
      </c>
      <c r="G248" t="s">
        <v>521</v>
      </c>
    </row>
    <row r="249" spans="1:7" x14ac:dyDescent="0.25">
      <c r="A249" t="str">
        <f>"865292184B"</f>
        <v>865292184B</v>
      </c>
      <c r="B249" t="s">
        <v>9</v>
      </c>
      <c r="C249" t="s">
        <v>522</v>
      </c>
      <c r="D249" t="s">
        <v>30</v>
      </c>
      <c r="E249" t="s">
        <v>523</v>
      </c>
      <c r="F249" t="s">
        <v>523</v>
      </c>
      <c r="G249" t="s">
        <v>524</v>
      </c>
    </row>
    <row r="250" spans="1:7" x14ac:dyDescent="0.25">
      <c r="A250" t="str">
        <f>"8633012ADD"</f>
        <v>8633012ADD</v>
      </c>
      <c r="B250" t="s">
        <v>9</v>
      </c>
      <c r="C250" t="s">
        <v>525</v>
      </c>
      <c r="D250" t="s">
        <v>30</v>
      </c>
      <c r="E250" t="s">
        <v>523</v>
      </c>
      <c r="F250" t="s">
        <v>523</v>
      </c>
      <c r="G250" t="s">
        <v>526</v>
      </c>
    </row>
    <row r="251" spans="1:7" x14ac:dyDescent="0.25">
      <c r="A251" t="str">
        <f>"86330190A7"</f>
        <v>86330190A7</v>
      </c>
      <c r="B251" t="s">
        <v>9</v>
      </c>
      <c r="C251" t="s">
        <v>527</v>
      </c>
      <c r="D251" t="s">
        <v>30</v>
      </c>
      <c r="E251" t="s">
        <v>523</v>
      </c>
      <c r="F251" t="s">
        <v>523</v>
      </c>
      <c r="G251" t="s">
        <v>526</v>
      </c>
    </row>
    <row r="252" spans="1:7" x14ac:dyDescent="0.25">
      <c r="A252" t="str">
        <f>"8747625084"</f>
        <v>8747625084</v>
      </c>
      <c r="B252" t="s">
        <v>9</v>
      </c>
      <c r="C252" t="s">
        <v>528</v>
      </c>
      <c r="D252" t="s">
        <v>30</v>
      </c>
      <c r="E252" t="s">
        <v>529</v>
      </c>
      <c r="F252" t="s">
        <v>529</v>
      </c>
      <c r="G252" t="s">
        <v>530</v>
      </c>
    </row>
    <row r="253" spans="1:7" x14ac:dyDescent="0.25">
      <c r="A253" t="str">
        <f>"8718845A7F"</f>
        <v>8718845A7F</v>
      </c>
      <c r="B253" t="s">
        <v>9</v>
      </c>
      <c r="C253" t="s">
        <v>531</v>
      </c>
      <c r="D253" t="s">
        <v>30</v>
      </c>
      <c r="E253" t="s">
        <v>532</v>
      </c>
      <c r="F253" t="s">
        <v>532</v>
      </c>
      <c r="G253" t="s">
        <v>533</v>
      </c>
    </row>
    <row r="254" spans="1:7" x14ac:dyDescent="0.25">
      <c r="A254" t="str">
        <f>"8812481161"</f>
        <v>8812481161</v>
      </c>
      <c r="B254" t="s">
        <v>9</v>
      </c>
      <c r="C254" t="s">
        <v>534</v>
      </c>
      <c r="D254" t="s">
        <v>30</v>
      </c>
      <c r="E254" t="s">
        <v>21</v>
      </c>
      <c r="F254" t="s">
        <v>21</v>
      </c>
      <c r="G254" t="s">
        <v>535</v>
      </c>
    </row>
    <row r="255" spans="1:7" x14ac:dyDescent="0.25">
      <c r="A255" t="str">
        <f>"ZB42CFA2A1"</f>
        <v>ZB42CFA2A1</v>
      </c>
      <c r="B255" t="s">
        <v>9</v>
      </c>
      <c r="C255" t="s">
        <v>536</v>
      </c>
      <c r="D255" t="s">
        <v>30</v>
      </c>
      <c r="E255" t="s">
        <v>537</v>
      </c>
      <c r="F255" t="s">
        <v>537</v>
      </c>
      <c r="G255" t="s">
        <v>49</v>
      </c>
    </row>
    <row r="256" spans="1:7" x14ac:dyDescent="0.25">
      <c r="A256" t="str">
        <f>"875394826B"</f>
        <v>875394826B</v>
      </c>
      <c r="B256" t="s">
        <v>9</v>
      </c>
      <c r="C256" t="s">
        <v>538</v>
      </c>
      <c r="D256" t="s">
        <v>30</v>
      </c>
      <c r="E256" t="s">
        <v>113</v>
      </c>
      <c r="F256" t="s">
        <v>113</v>
      </c>
      <c r="G256" t="s">
        <v>539</v>
      </c>
    </row>
    <row r="257" spans="1:7" x14ac:dyDescent="0.25">
      <c r="A257" t="str">
        <f>"8852859A59"</f>
        <v>8852859A59</v>
      </c>
      <c r="B257" t="s">
        <v>9</v>
      </c>
      <c r="C257" t="s">
        <v>540</v>
      </c>
      <c r="D257" t="s">
        <v>30</v>
      </c>
      <c r="E257" t="s">
        <v>523</v>
      </c>
      <c r="F257" t="s">
        <v>523</v>
      </c>
      <c r="G257" t="s">
        <v>541</v>
      </c>
    </row>
    <row r="258" spans="1:7" x14ac:dyDescent="0.25">
      <c r="A258" t="str">
        <f>"8829031ADC"</f>
        <v>8829031ADC</v>
      </c>
      <c r="B258" t="s">
        <v>9</v>
      </c>
      <c r="C258" t="s">
        <v>542</v>
      </c>
      <c r="D258" t="s">
        <v>30</v>
      </c>
      <c r="E258" t="s">
        <v>543</v>
      </c>
      <c r="F258" t="s">
        <v>543</v>
      </c>
      <c r="G258" t="s">
        <v>544</v>
      </c>
    </row>
    <row r="259" spans="1:7" x14ac:dyDescent="0.25">
      <c r="A259" t="str">
        <f>"87213204F0"</f>
        <v>87213204F0</v>
      </c>
      <c r="B259" t="s">
        <v>9</v>
      </c>
      <c r="C259" t="s">
        <v>545</v>
      </c>
      <c r="D259" t="s">
        <v>30</v>
      </c>
      <c r="E259" t="s">
        <v>546</v>
      </c>
      <c r="F259" t="s">
        <v>546</v>
      </c>
      <c r="G259" t="s">
        <v>493</v>
      </c>
    </row>
    <row r="260" spans="1:7" x14ac:dyDescent="0.25">
      <c r="A260" t="str">
        <f>"8792018AC4"</f>
        <v>8792018AC4</v>
      </c>
      <c r="B260" t="s">
        <v>9</v>
      </c>
      <c r="C260" t="s">
        <v>547</v>
      </c>
      <c r="D260" t="s">
        <v>30</v>
      </c>
      <c r="E260" t="s">
        <v>215</v>
      </c>
      <c r="F260" t="s">
        <v>215</v>
      </c>
      <c r="G260" t="s">
        <v>548</v>
      </c>
    </row>
    <row r="261" spans="1:7" x14ac:dyDescent="0.25">
      <c r="A261" t="str">
        <f>"8633033C31"</f>
        <v>8633033C31</v>
      </c>
      <c r="B261" t="s">
        <v>9</v>
      </c>
      <c r="C261" t="s">
        <v>549</v>
      </c>
      <c r="D261" t="s">
        <v>30</v>
      </c>
      <c r="E261" t="s">
        <v>152</v>
      </c>
      <c r="F261" t="s">
        <v>152</v>
      </c>
      <c r="G261" t="s">
        <v>550</v>
      </c>
    </row>
    <row r="262" spans="1:7" x14ac:dyDescent="0.25">
      <c r="A262" t="str">
        <f>"952823329D"</f>
        <v>952823329D</v>
      </c>
      <c r="B262" t="s">
        <v>9</v>
      </c>
      <c r="C262" t="s">
        <v>551</v>
      </c>
      <c r="D262" t="s">
        <v>30</v>
      </c>
      <c r="E262" t="s">
        <v>552</v>
      </c>
      <c r="F262" t="s">
        <v>552</v>
      </c>
      <c r="G262" t="s">
        <v>553</v>
      </c>
    </row>
    <row r="263" spans="1:7" x14ac:dyDescent="0.25">
      <c r="A263" t="str">
        <f>"8653311A21"</f>
        <v>8653311A21</v>
      </c>
      <c r="B263" t="s">
        <v>9</v>
      </c>
      <c r="C263" t="s">
        <v>554</v>
      </c>
      <c r="D263" t="s">
        <v>30</v>
      </c>
      <c r="E263" t="s">
        <v>555</v>
      </c>
      <c r="F263" t="s">
        <v>555</v>
      </c>
      <c r="G263" t="s">
        <v>556</v>
      </c>
    </row>
    <row r="264" spans="1:7" x14ac:dyDescent="0.25">
      <c r="A264" t="str">
        <f>"86460176EF"</f>
        <v>86460176EF</v>
      </c>
      <c r="B264" t="s">
        <v>9</v>
      </c>
      <c r="C264" t="s">
        <v>557</v>
      </c>
      <c r="D264" t="s">
        <v>30</v>
      </c>
      <c r="E264" t="s">
        <v>558</v>
      </c>
      <c r="F264" t="s">
        <v>558</v>
      </c>
      <c r="G264" t="s">
        <v>559</v>
      </c>
    </row>
    <row r="265" spans="1:7" x14ac:dyDescent="0.25">
      <c r="A265" t="str">
        <f>"Y13315E8FF"</f>
        <v>Y13315E8FF</v>
      </c>
      <c r="B265" t="s">
        <v>9</v>
      </c>
      <c r="C265" t="s">
        <v>560</v>
      </c>
      <c r="D265" t="s">
        <v>30</v>
      </c>
      <c r="E265" t="s">
        <v>537</v>
      </c>
      <c r="F265" t="s">
        <v>537</v>
      </c>
      <c r="G265" t="s">
        <v>49</v>
      </c>
    </row>
    <row r="266" spans="1:7" x14ac:dyDescent="0.25">
      <c r="A266" t="str">
        <f>"86111398B2"</f>
        <v>86111398B2</v>
      </c>
      <c r="B266" t="s">
        <v>9</v>
      </c>
      <c r="C266" t="s">
        <v>561</v>
      </c>
      <c r="D266" t="s">
        <v>30</v>
      </c>
      <c r="E266" t="s">
        <v>251</v>
      </c>
      <c r="F266" t="s">
        <v>251</v>
      </c>
      <c r="G266" t="s">
        <v>562</v>
      </c>
    </row>
    <row r="267" spans="1:7" x14ac:dyDescent="0.25">
      <c r="A267" t="str">
        <f>"9313111E4F"</f>
        <v>9313111E4F</v>
      </c>
      <c r="B267" t="s">
        <v>9</v>
      </c>
      <c r="C267" t="s">
        <v>563</v>
      </c>
      <c r="D267" t="s">
        <v>30</v>
      </c>
    </row>
    <row r="268" spans="1:7" x14ac:dyDescent="0.25">
      <c r="A268" t="str">
        <f>"91503958D3"</f>
        <v>91503958D3</v>
      </c>
      <c r="B268" t="s">
        <v>9</v>
      </c>
      <c r="C268" t="s">
        <v>564</v>
      </c>
      <c r="D268" t="s">
        <v>30</v>
      </c>
      <c r="E268" t="s">
        <v>244</v>
      </c>
      <c r="F268" t="s">
        <v>244</v>
      </c>
      <c r="G268" t="s">
        <v>565</v>
      </c>
    </row>
    <row r="269" spans="1:7" x14ac:dyDescent="0.25">
      <c r="A269" t="str">
        <f>"92972014F9"</f>
        <v>92972014F9</v>
      </c>
      <c r="B269" t="s">
        <v>9</v>
      </c>
      <c r="C269" t="s">
        <v>566</v>
      </c>
      <c r="D269" t="s">
        <v>30</v>
      </c>
    </row>
    <row r="270" spans="1:7" x14ac:dyDescent="0.25">
      <c r="A270" t="str">
        <f>"9358398A54"</f>
        <v>9358398A54</v>
      </c>
      <c r="B270" t="s">
        <v>9</v>
      </c>
      <c r="C270" t="s">
        <v>567</v>
      </c>
      <c r="D270" t="s">
        <v>30</v>
      </c>
    </row>
    <row r="271" spans="1:7" x14ac:dyDescent="0.25">
      <c r="A271" t="str">
        <f>"908919944B"</f>
        <v>908919944B</v>
      </c>
      <c r="B271" t="s">
        <v>9</v>
      </c>
      <c r="C271" t="s">
        <v>568</v>
      </c>
      <c r="D271" t="s">
        <v>30</v>
      </c>
      <c r="E271" t="s">
        <v>569</v>
      </c>
      <c r="F271" t="s">
        <v>569</v>
      </c>
      <c r="G271" t="s">
        <v>570</v>
      </c>
    </row>
    <row r="272" spans="1:7" x14ac:dyDescent="0.25">
      <c r="A272" t="str">
        <f>"9129692C2A"</f>
        <v>9129692C2A</v>
      </c>
      <c r="B272" t="s">
        <v>9</v>
      </c>
      <c r="C272" t="s">
        <v>571</v>
      </c>
      <c r="D272" t="s">
        <v>30</v>
      </c>
      <c r="E272" t="s">
        <v>39</v>
      </c>
      <c r="F272" t="s">
        <v>39</v>
      </c>
      <c r="G272" t="s">
        <v>572</v>
      </c>
    </row>
    <row r="273" spans="1:7" x14ac:dyDescent="0.25">
      <c r="A273" t="str">
        <f>"9417307F91"</f>
        <v>9417307F91</v>
      </c>
      <c r="B273" t="s">
        <v>9</v>
      </c>
      <c r="C273" t="s">
        <v>573</v>
      </c>
      <c r="D273" t="s">
        <v>30</v>
      </c>
    </row>
    <row r="274" spans="1:7" x14ac:dyDescent="0.25">
      <c r="A274" t="str">
        <f>"ZA72CC1045"</f>
        <v>ZA72CC1045</v>
      </c>
      <c r="B274" t="s">
        <v>9</v>
      </c>
      <c r="C274" t="s">
        <v>574</v>
      </c>
      <c r="D274" t="s">
        <v>30</v>
      </c>
      <c r="E274" t="s">
        <v>575</v>
      </c>
      <c r="F274" t="s">
        <v>575</v>
      </c>
      <c r="G274" t="s">
        <v>195</v>
      </c>
    </row>
    <row r="275" spans="1:7" x14ac:dyDescent="0.25">
      <c r="A275" t="str">
        <f>"920656167A"</f>
        <v>920656167A</v>
      </c>
      <c r="B275" t="s">
        <v>9</v>
      </c>
      <c r="C275" t="s">
        <v>576</v>
      </c>
      <c r="D275" t="s">
        <v>30</v>
      </c>
      <c r="E275" t="s">
        <v>135</v>
      </c>
      <c r="F275" t="s">
        <v>135</v>
      </c>
      <c r="G275" t="s">
        <v>577</v>
      </c>
    </row>
    <row r="276" spans="1:7" x14ac:dyDescent="0.25">
      <c r="A276" t="str">
        <f>"9256170120"</f>
        <v>9256170120</v>
      </c>
      <c r="B276" t="s">
        <v>9</v>
      </c>
      <c r="C276" t="s">
        <v>578</v>
      </c>
      <c r="D276" t="s">
        <v>30</v>
      </c>
      <c r="E276" t="s">
        <v>135</v>
      </c>
      <c r="F276" t="s">
        <v>135</v>
      </c>
      <c r="G276" t="s">
        <v>579</v>
      </c>
    </row>
    <row r="277" spans="1:7" x14ac:dyDescent="0.25">
      <c r="A277" t="str">
        <f>"91466706DC"</f>
        <v>91466706DC</v>
      </c>
      <c r="B277" t="s">
        <v>9</v>
      </c>
      <c r="C277" t="s">
        <v>580</v>
      </c>
      <c r="D277" t="s">
        <v>30</v>
      </c>
      <c r="E277" t="s">
        <v>581</v>
      </c>
      <c r="F277" t="s">
        <v>581</v>
      </c>
      <c r="G277" t="s">
        <v>582</v>
      </c>
    </row>
    <row r="278" spans="1:7" x14ac:dyDescent="0.25">
      <c r="A278" t="str">
        <f>"930677300B"</f>
        <v>930677300B</v>
      </c>
      <c r="B278" t="s">
        <v>9</v>
      </c>
      <c r="C278" t="s">
        <v>583</v>
      </c>
      <c r="D278" t="s">
        <v>30</v>
      </c>
    </row>
    <row r="279" spans="1:7" x14ac:dyDescent="0.25">
      <c r="A279" t="str">
        <f>"9254865C31"</f>
        <v>9254865C31</v>
      </c>
      <c r="B279" t="s">
        <v>9</v>
      </c>
      <c r="C279" t="s">
        <v>584</v>
      </c>
      <c r="D279" t="s">
        <v>30</v>
      </c>
    </row>
    <row r="280" spans="1:7" x14ac:dyDescent="0.25">
      <c r="A280" t="str">
        <f>"8602462038"</f>
        <v>8602462038</v>
      </c>
      <c r="B280" t="s">
        <v>9</v>
      </c>
      <c r="C280" t="s">
        <v>585</v>
      </c>
      <c r="D280" t="s">
        <v>20</v>
      </c>
    </row>
    <row r="281" spans="1:7" x14ac:dyDescent="0.25">
      <c r="A281" t="str">
        <f>"86825223D1"</f>
        <v>86825223D1</v>
      </c>
      <c r="B281" t="s">
        <v>9</v>
      </c>
      <c r="C281" t="s">
        <v>586</v>
      </c>
      <c r="D281" t="s">
        <v>24</v>
      </c>
      <c r="E281" t="s">
        <v>587</v>
      </c>
      <c r="F281" t="s">
        <v>63</v>
      </c>
      <c r="G281" t="s">
        <v>588</v>
      </c>
    </row>
    <row r="282" spans="1:7" x14ac:dyDescent="0.25">
      <c r="A282" t="str">
        <f>"8649669CA7"</f>
        <v>8649669CA7</v>
      </c>
      <c r="B282" t="s">
        <v>9</v>
      </c>
      <c r="C282" t="s">
        <v>589</v>
      </c>
      <c r="D282" t="s">
        <v>20</v>
      </c>
    </row>
    <row r="283" spans="1:7" x14ac:dyDescent="0.25">
      <c r="A283" t="str">
        <f>"8602177506"</f>
        <v>8602177506</v>
      </c>
      <c r="B283" t="s">
        <v>9</v>
      </c>
      <c r="C283" t="s">
        <v>590</v>
      </c>
      <c r="D283" t="s">
        <v>20</v>
      </c>
    </row>
    <row r="284" spans="1:7" x14ac:dyDescent="0.25">
      <c r="A284" t="str">
        <f>"862957890A"</f>
        <v>862957890A</v>
      </c>
      <c r="B284" t="s">
        <v>9</v>
      </c>
      <c r="C284" t="s">
        <v>591</v>
      </c>
      <c r="D284" t="s">
        <v>24</v>
      </c>
      <c r="E284" t="s">
        <v>592</v>
      </c>
      <c r="F284" t="s">
        <v>592</v>
      </c>
      <c r="G284" t="s">
        <v>593</v>
      </c>
    </row>
    <row r="285" spans="1:7" x14ac:dyDescent="0.25">
      <c r="A285" t="str">
        <f>"916683685E"</f>
        <v>916683685E</v>
      </c>
      <c r="B285" t="s">
        <v>9</v>
      </c>
      <c r="C285" t="s">
        <v>594</v>
      </c>
      <c r="D285" t="s">
        <v>24</v>
      </c>
      <c r="E285" t="s">
        <v>595</v>
      </c>
      <c r="F285" t="s">
        <v>142</v>
      </c>
      <c r="G285" t="s">
        <v>596</v>
      </c>
    </row>
    <row r="286" spans="1:7" x14ac:dyDescent="0.25">
      <c r="A286" t="str">
        <f>"ZB12DCC5CF"</f>
        <v>ZB12DCC5CF</v>
      </c>
      <c r="B286" t="s">
        <v>9</v>
      </c>
      <c r="C286" t="s">
        <v>597</v>
      </c>
      <c r="D286" t="s">
        <v>24</v>
      </c>
      <c r="E286" t="s">
        <v>598</v>
      </c>
      <c r="F286" t="s">
        <v>598</v>
      </c>
      <c r="G286" t="s">
        <v>599</v>
      </c>
    </row>
    <row r="287" spans="1:7" x14ac:dyDescent="0.25">
      <c r="A287" t="str">
        <f>"9126142A9D"</f>
        <v>9126142A9D</v>
      </c>
      <c r="B287" t="s">
        <v>9</v>
      </c>
      <c r="C287" t="s">
        <v>600</v>
      </c>
      <c r="D287" t="s">
        <v>20</v>
      </c>
    </row>
    <row r="288" spans="1:7" x14ac:dyDescent="0.25">
      <c r="A288" t="str">
        <f>"9286004CE8"</f>
        <v>9286004CE8</v>
      </c>
      <c r="B288" t="s">
        <v>9</v>
      </c>
      <c r="C288" t="s">
        <v>601</v>
      </c>
      <c r="D288" t="s">
        <v>24</v>
      </c>
      <c r="E288" t="s">
        <v>602</v>
      </c>
      <c r="F288" t="s">
        <v>603</v>
      </c>
      <c r="G288" t="s">
        <v>604</v>
      </c>
    </row>
    <row r="289" spans="1:9" x14ac:dyDescent="0.25">
      <c r="A289" t="str">
        <f>"88451207ED"</f>
        <v>88451207ED</v>
      </c>
      <c r="B289" t="s">
        <v>9</v>
      </c>
      <c r="C289" t="s">
        <v>605</v>
      </c>
      <c r="D289" t="s">
        <v>24</v>
      </c>
      <c r="E289" t="s">
        <v>606</v>
      </c>
      <c r="F289" t="s">
        <v>607</v>
      </c>
      <c r="G289" t="s">
        <v>608</v>
      </c>
    </row>
    <row r="290" spans="1:9" x14ac:dyDescent="0.25">
      <c r="A290" t="str">
        <f>"8979326639"</f>
        <v>8979326639</v>
      </c>
      <c r="B290" t="s">
        <v>9</v>
      </c>
      <c r="C290" t="s">
        <v>609</v>
      </c>
      <c r="D290" t="s">
        <v>11</v>
      </c>
      <c r="E290" t="s">
        <v>63</v>
      </c>
      <c r="F290" t="s">
        <v>63</v>
      </c>
      <c r="G290" t="s">
        <v>610</v>
      </c>
    </row>
    <row r="291" spans="1:9" x14ac:dyDescent="0.25">
      <c r="A291" t="str">
        <f>"86825109E8"</f>
        <v>86825109E8</v>
      </c>
      <c r="B291" t="s">
        <v>9</v>
      </c>
      <c r="C291" t="s">
        <v>611</v>
      </c>
      <c r="D291" t="s">
        <v>24</v>
      </c>
      <c r="E291" t="s">
        <v>587</v>
      </c>
      <c r="F291" t="s">
        <v>75</v>
      </c>
      <c r="G291" t="s">
        <v>612</v>
      </c>
    </row>
    <row r="292" spans="1:9" x14ac:dyDescent="0.25">
      <c r="A292" t="str">
        <f>"8682759764"</f>
        <v>8682759764</v>
      </c>
      <c r="B292" t="s">
        <v>9</v>
      </c>
      <c r="C292" t="s">
        <v>613</v>
      </c>
      <c r="D292" t="s">
        <v>24</v>
      </c>
      <c r="E292" t="s">
        <v>25</v>
      </c>
      <c r="F292" t="s">
        <v>614</v>
      </c>
      <c r="G292" t="s">
        <v>615</v>
      </c>
    </row>
    <row r="293" spans="1:9" x14ac:dyDescent="0.25">
      <c r="A293" t="str">
        <f>"8682763AB0"</f>
        <v>8682763AB0</v>
      </c>
      <c r="B293" t="s">
        <v>9</v>
      </c>
      <c r="C293" t="s">
        <v>616</v>
      </c>
      <c r="D293" t="s">
        <v>24</v>
      </c>
      <c r="E293" t="s">
        <v>25</v>
      </c>
      <c r="F293" t="s">
        <v>617</v>
      </c>
      <c r="G293" t="s">
        <v>618</v>
      </c>
    </row>
    <row r="294" spans="1:9" x14ac:dyDescent="0.25">
      <c r="A294" t="str">
        <f>"948830904A"</f>
        <v>948830904A</v>
      </c>
      <c r="B294" t="s">
        <v>9</v>
      </c>
      <c r="C294" t="s">
        <v>619</v>
      </c>
      <c r="D294" t="s">
        <v>30</v>
      </c>
      <c r="E294" t="s">
        <v>152</v>
      </c>
      <c r="F294" t="s">
        <v>152</v>
      </c>
      <c r="G294" t="s">
        <v>620</v>
      </c>
      <c r="H294" t="s">
        <v>621</v>
      </c>
      <c r="I294" t="s">
        <v>620</v>
      </c>
    </row>
    <row r="295" spans="1:9" x14ac:dyDescent="0.25">
      <c r="A295" t="str">
        <f>"9554613C11"</f>
        <v>9554613C11</v>
      </c>
      <c r="B295" t="s">
        <v>9</v>
      </c>
      <c r="C295" t="s">
        <v>622</v>
      </c>
      <c r="D295" t="s">
        <v>11</v>
      </c>
      <c r="E295" t="s">
        <v>623</v>
      </c>
      <c r="F295" t="s">
        <v>623</v>
      </c>
      <c r="G295" t="s">
        <v>530</v>
      </c>
      <c r="H295" t="s">
        <v>624</v>
      </c>
      <c r="I295" t="s">
        <v>530</v>
      </c>
    </row>
    <row r="296" spans="1:9" x14ac:dyDescent="0.25">
      <c r="A296" t="str">
        <f>"94595267CC"</f>
        <v>94595267CC</v>
      </c>
      <c r="B296" t="s">
        <v>9</v>
      </c>
      <c r="C296" t="s">
        <v>625</v>
      </c>
      <c r="D296" t="s">
        <v>30</v>
      </c>
      <c r="E296" t="s">
        <v>626</v>
      </c>
      <c r="F296" t="s">
        <v>626</v>
      </c>
      <c r="G296" t="s">
        <v>627</v>
      </c>
      <c r="H296" t="s">
        <v>628</v>
      </c>
    </row>
    <row r="297" spans="1:9" x14ac:dyDescent="0.25">
      <c r="A297" t="str">
        <f>"9516341D03"</f>
        <v>9516341D03</v>
      </c>
      <c r="B297" t="s">
        <v>9</v>
      </c>
      <c r="C297" t="s">
        <v>629</v>
      </c>
      <c r="D297" t="s">
        <v>30</v>
      </c>
      <c r="E297" t="s">
        <v>630</v>
      </c>
      <c r="F297" t="s">
        <v>630</v>
      </c>
      <c r="G297" t="s">
        <v>631</v>
      </c>
      <c r="H297" t="s">
        <v>632</v>
      </c>
      <c r="I297" t="s">
        <v>631</v>
      </c>
    </row>
    <row r="298" spans="1:9" x14ac:dyDescent="0.25">
      <c r="A298" t="str">
        <f>"9519635B4F"</f>
        <v>9519635B4F</v>
      </c>
      <c r="B298" t="s">
        <v>9</v>
      </c>
      <c r="C298" t="s">
        <v>633</v>
      </c>
      <c r="D298" t="s">
        <v>30</v>
      </c>
      <c r="E298" t="s">
        <v>634</v>
      </c>
      <c r="F298" t="s">
        <v>634</v>
      </c>
      <c r="G298" t="s">
        <v>635</v>
      </c>
      <c r="H298" t="s">
        <v>636</v>
      </c>
      <c r="I298" t="s">
        <v>635</v>
      </c>
    </row>
    <row r="299" spans="1:9" x14ac:dyDescent="0.25">
      <c r="A299" t="str">
        <f>"95543123AF"</f>
        <v>95543123AF</v>
      </c>
      <c r="B299" t="s">
        <v>9</v>
      </c>
      <c r="C299" t="s">
        <v>637</v>
      </c>
      <c r="D299" t="s">
        <v>30</v>
      </c>
      <c r="E299" t="s">
        <v>638</v>
      </c>
      <c r="F299" t="s">
        <v>638</v>
      </c>
      <c r="G299" t="s">
        <v>639</v>
      </c>
      <c r="H299" t="s">
        <v>640</v>
      </c>
      <c r="I299" t="s">
        <v>639</v>
      </c>
    </row>
    <row r="300" spans="1:9" x14ac:dyDescent="0.25">
      <c r="A300" t="str">
        <f>"9494831668"</f>
        <v>9494831668</v>
      </c>
      <c r="B300" t="s">
        <v>9</v>
      </c>
      <c r="C300" t="s">
        <v>641</v>
      </c>
      <c r="D300" t="s">
        <v>30</v>
      </c>
      <c r="E300" t="s">
        <v>634</v>
      </c>
      <c r="F300" t="s">
        <v>634</v>
      </c>
      <c r="G300" t="s">
        <v>635</v>
      </c>
      <c r="H300" t="s">
        <v>642</v>
      </c>
      <c r="I300" t="s">
        <v>635</v>
      </c>
    </row>
    <row r="301" spans="1:9" x14ac:dyDescent="0.25">
      <c r="A301" t="str">
        <f>"9557267A38"</f>
        <v>9557267A38</v>
      </c>
      <c r="B301" t="s">
        <v>9</v>
      </c>
      <c r="C301" t="s">
        <v>643</v>
      </c>
      <c r="D301" t="s">
        <v>11</v>
      </c>
      <c r="E301" t="s">
        <v>12</v>
      </c>
      <c r="F301" t="s">
        <v>12</v>
      </c>
      <c r="G301" t="s">
        <v>644</v>
      </c>
      <c r="H301" t="s">
        <v>645</v>
      </c>
    </row>
    <row r="302" spans="1:9" x14ac:dyDescent="0.25">
      <c r="A302" t="str">
        <f>"95574988D9"</f>
        <v>95574988D9</v>
      </c>
      <c r="B302" t="s">
        <v>9</v>
      </c>
      <c r="C302" t="s">
        <v>646</v>
      </c>
      <c r="D302" t="s">
        <v>30</v>
      </c>
      <c r="E302" t="s">
        <v>160</v>
      </c>
      <c r="F302" t="s">
        <v>160</v>
      </c>
      <c r="G302" t="s">
        <v>647</v>
      </c>
      <c r="H302" t="s">
        <v>645</v>
      </c>
    </row>
    <row r="303" spans="1:9" x14ac:dyDescent="0.25">
      <c r="A303" t="str">
        <f>"955160167E"</f>
        <v>955160167E</v>
      </c>
      <c r="B303" t="s">
        <v>9</v>
      </c>
      <c r="C303" t="s">
        <v>648</v>
      </c>
      <c r="D303" t="s">
        <v>30</v>
      </c>
      <c r="E303" t="s">
        <v>649</v>
      </c>
      <c r="F303" t="s">
        <v>649</v>
      </c>
      <c r="G303" t="s">
        <v>635</v>
      </c>
      <c r="H303" t="s">
        <v>650</v>
      </c>
    </row>
    <row r="304" spans="1:9" x14ac:dyDescent="0.25">
      <c r="A304" t="str">
        <f>"9551366491"</f>
        <v>9551366491</v>
      </c>
      <c r="B304" t="s">
        <v>9</v>
      </c>
      <c r="C304" t="s">
        <v>651</v>
      </c>
      <c r="D304" t="s">
        <v>11</v>
      </c>
      <c r="E304" t="s">
        <v>623</v>
      </c>
      <c r="F304" t="s">
        <v>623</v>
      </c>
      <c r="G304" t="s">
        <v>530</v>
      </c>
      <c r="H304" t="s">
        <v>652</v>
      </c>
      <c r="I304" t="s">
        <v>530</v>
      </c>
    </row>
    <row r="305" spans="1:9" x14ac:dyDescent="0.25">
      <c r="A305" t="str">
        <f>"9557417602"</f>
        <v>9557417602</v>
      </c>
      <c r="B305" t="s">
        <v>9</v>
      </c>
      <c r="C305" t="s">
        <v>653</v>
      </c>
      <c r="D305" t="s">
        <v>30</v>
      </c>
      <c r="E305" t="s">
        <v>12</v>
      </c>
      <c r="F305" t="s">
        <v>12</v>
      </c>
      <c r="G305" t="s">
        <v>654</v>
      </c>
      <c r="H305" t="s">
        <v>650</v>
      </c>
    </row>
    <row r="306" spans="1:9" x14ac:dyDescent="0.25">
      <c r="A306" t="str">
        <f>"9552959726"</f>
        <v>9552959726</v>
      </c>
      <c r="B306" t="s">
        <v>9</v>
      </c>
      <c r="C306" t="s">
        <v>655</v>
      </c>
      <c r="D306" t="s">
        <v>11</v>
      </c>
      <c r="E306" t="s">
        <v>656</v>
      </c>
      <c r="F306" t="s">
        <v>656</v>
      </c>
      <c r="G306" t="s">
        <v>657</v>
      </c>
      <c r="H306" t="s">
        <v>658</v>
      </c>
      <c r="I306" t="s">
        <v>657</v>
      </c>
    </row>
    <row r="307" spans="1:9" x14ac:dyDescent="0.25">
      <c r="A307" t="str">
        <f>"955229318E"</f>
        <v>955229318E</v>
      </c>
      <c r="B307" t="s">
        <v>9</v>
      </c>
      <c r="C307" t="s">
        <v>659</v>
      </c>
      <c r="D307" t="s">
        <v>30</v>
      </c>
      <c r="E307" t="s">
        <v>660</v>
      </c>
      <c r="F307" t="s">
        <v>660</v>
      </c>
      <c r="G307" t="s">
        <v>661</v>
      </c>
      <c r="H307" t="s">
        <v>650</v>
      </c>
    </row>
    <row r="308" spans="1:9" x14ac:dyDescent="0.25">
      <c r="A308" t="str">
        <f>"9553268625"</f>
        <v>9553268625</v>
      </c>
      <c r="B308" t="s">
        <v>9</v>
      </c>
      <c r="C308" t="s">
        <v>662</v>
      </c>
      <c r="D308" t="s">
        <v>30</v>
      </c>
      <c r="E308" t="s">
        <v>663</v>
      </c>
      <c r="F308" t="s">
        <v>663</v>
      </c>
      <c r="G308" t="s">
        <v>664</v>
      </c>
      <c r="H308" t="s">
        <v>650</v>
      </c>
    </row>
    <row r="309" spans="1:9" x14ac:dyDescent="0.25">
      <c r="A309" t="str">
        <f>"9549269212"</f>
        <v>9549269212</v>
      </c>
      <c r="B309" t="s">
        <v>9</v>
      </c>
      <c r="C309" t="s">
        <v>665</v>
      </c>
      <c r="D309" t="s">
        <v>30</v>
      </c>
      <c r="E309" t="s">
        <v>666</v>
      </c>
      <c r="F309" t="s">
        <v>666</v>
      </c>
      <c r="G309" t="s">
        <v>667</v>
      </c>
      <c r="H309" t="s">
        <v>668</v>
      </c>
      <c r="I309" t="s">
        <v>669</v>
      </c>
    </row>
    <row r="310" spans="1:9" x14ac:dyDescent="0.25">
      <c r="A310" t="str">
        <f>"95492989FE"</f>
        <v>95492989FE</v>
      </c>
      <c r="B310" t="s">
        <v>9</v>
      </c>
      <c r="C310" t="s">
        <v>670</v>
      </c>
      <c r="D310" t="s">
        <v>30</v>
      </c>
      <c r="E310" t="s">
        <v>671</v>
      </c>
      <c r="F310" t="s">
        <v>671</v>
      </c>
      <c r="G310" t="s">
        <v>672</v>
      </c>
      <c r="H310" t="s">
        <v>668</v>
      </c>
      <c r="I310" t="s">
        <v>672</v>
      </c>
    </row>
    <row r="311" spans="1:9" x14ac:dyDescent="0.25">
      <c r="A311" t="str">
        <f>"9510688405"</f>
        <v>9510688405</v>
      </c>
      <c r="B311" t="s">
        <v>9</v>
      </c>
      <c r="C311" t="s">
        <v>673</v>
      </c>
      <c r="D311" t="s">
        <v>30</v>
      </c>
      <c r="E311" t="s">
        <v>674</v>
      </c>
      <c r="F311" t="s">
        <v>674</v>
      </c>
      <c r="G311" t="s">
        <v>675</v>
      </c>
      <c r="H311" t="s">
        <v>676</v>
      </c>
    </row>
    <row r="312" spans="1:9" x14ac:dyDescent="0.25">
      <c r="A312" t="str">
        <f>"954200579F"</f>
        <v>954200579F</v>
      </c>
      <c r="B312" t="s">
        <v>9</v>
      </c>
      <c r="C312" t="s">
        <v>677</v>
      </c>
      <c r="D312" t="s">
        <v>30</v>
      </c>
      <c r="E312" t="s">
        <v>666</v>
      </c>
      <c r="F312" t="s">
        <v>666</v>
      </c>
      <c r="G312" t="s">
        <v>635</v>
      </c>
      <c r="H312" t="s">
        <v>678</v>
      </c>
      <c r="I312" t="s">
        <v>635</v>
      </c>
    </row>
    <row r="313" spans="1:9" x14ac:dyDescent="0.25">
      <c r="A313" t="str">
        <f>"9543580B59"</f>
        <v>9543580B59</v>
      </c>
      <c r="B313" t="s">
        <v>9</v>
      </c>
      <c r="C313" t="s">
        <v>679</v>
      </c>
      <c r="D313" t="s">
        <v>30</v>
      </c>
      <c r="E313" t="s">
        <v>680</v>
      </c>
      <c r="F313" t="s">
        <v>680</v>
      </c>
      <c r="G313" t="s">
        <v>681</v>
      </c>
      <c r="H313" t="s">
        <v>678</v>
      </c>
      <c r="I313" t="s">
        <v>681</v>
      </c>
    </row>
    <row r="314" spans="1:9" x14ac:dyDescent="0.25">
      <c r="A314" t="str">
        <f>"94921512CE"</f>
        <v>94921512CE</v>
      </c>
      <c r="B314" t="s">
        <v>9</v>
      </c>
      <c r="C314" t="s">
        <v>682</v>
      </c>
      <c r="D314" t="s">
        <v>20</v>
      </c>
      <c r="E314" t="s">
        <v>614</v>
      </c>
      <c r="F314" t="s">
        <v>614</v>
      </c>
      <c r="G314" t="s">
        <v>683</v>
      </c>
      <c r="H314" t="s">
        <v>684</v>
      </c>
    </row>
    <row r="315" spans="1:9" x14ac:dyDescent="0.25">
      <c r="A315" t="str">
        <f>"9535613CC5"</f>
        <v>9535613CC5</v>
      </c>
      <c r="B315" t="s">
        <v>9</v>
      </c>
      <c r="C315" t="s">
        <v>685</v>
      </c>
      <c r="D315" t="s">
        <v>30</v>
      </c>
      <c r="E315" t="s">
        <v>686</v>
      </c>
      <c r="F315" t="s">
        <v>686</v>
      </c>
      <c r="G315" t="s">
        <v>687</v>
      </c>
      <c r="H315" t="s">
        <v>688</v>
      </c>
      <c r="I315" t="s">
        <v>687</v>
      </c>
    </row>
    <row r="316" spans="1:9" x14ac:dyDescent="0.25">
      <c r="A316" t="str">
        <f>"9535878776"</f>
        <v>9535878776</v>
      </c>
      <c r="B316" t="s">
        <v>9</v>
      </c>
      <c r="C316" t="s">
        <v>689</v>
      </c>
      <c r="D316" t="s">
        <v>30</v>
      </c>
      <c r="E316" t="s">
        <v>686</v>
      </c>
      <c r="F316" t="s">
        <v>686</v>
      </c>
      <c r="G316" t="s">
        <v>690</v>
      </c>
      <c r="H316" t="s">
        <v>691</v>
      </c>
      <c r="I316" t="s">
        <v>690</v>
      </c>
    </row>
    <row r="317" spans="1:9" x14ac:dyDescent="0.25">
      <c r="A317" t="str">
        <f>"9532399082"</f>
        <v>9532399082</v>
      </c>
      <c r="B317" t="s">
        <v>9</v>
      </c>
      <c r="C317" t="s">
        <v>692</v>
      </c>
      <c r="D317" t="s">
        <v>30</v>
      </c>
      <c r="E317" t="s">
        <v>693</v>
      </c>
      <c r="F317" t="s">
        <v>693</v>
      </c>
      <c r="G317" t="s">
        <v>694</v>
      </c>
      <c r="H317" t="s">
        <v>695</v>
      </c>
    </row>
    <row r="318" spans="1:9" x14ac:dyDescent="0.25">
      <c r="A318" t="str">
        <f>"9528479D9B"</f>
        <v>9528479D9B</v>
      </c>
      <c r="B318" t="s">
        <v>9</v>
      </c>
      <c r="C318" t="s">
        <v>696</v>
      </c>
      <c r="D318" t="s">
        <v>30</v>
      </c>
      <c r="E318" t="s">
        <v>697</v>
      </c>
      <c r="F318" t="s">
        <v>697</v>
      </c>
      <c r="G318" t="s">
        <v>195</v>
      </c>
      <c r="H318" t="s">
        <v>698</v>
      </c>
      <c r="I318" t="s">
        <v>699</v>
      </c>
    </row>
    <row r="319" spans="1:9" x14ac:dyDescent="0.25">
      <c r="A319" t="str">
        <f>"94445121DC"</f>
        <v>94445121DC</v>
      </c>
      <c r="B319" t="s">
        <v>9</v>
      </c>
      <c r="C319" t="s">
        <v>700</v>
      </c>
      <c r="D319" t="s">
        <v>30</v>
      </c>
      <c r="E319" t="s">
        <v>96</v>
      </c>
      <c r="F319" t="s">
        <v>96</v>
      </c>
      <c r="G319" t="s">
        <v>701</v>
      </c>
      <c r="H319" t="s">
        <v>702</v>
      </c>
    </row>
    <row r="320" spans="1:9" x14ac:dyDescent="0.25">
      <c r="A320" t="str">
        <f>"9483470703"</f>
        <v>9483470703</v>
      </c>
      <c r="B320" t="s">
        <v>9</v>
      </c>
      <c r="C320" t="s">
        <v>703</v>
      </c>
      <c r="D320" t="s">
        <v>30</v>
      </c>
      <c r="E320" t="s">
        <v>704</v>
      </c>
      <c r="F320" t="s">
        <v>704</v>
      </c>
      <c r="G320" t="s">
        <v>705</v>
      </c>
      <c r="H320" t="s">
        <v>706</v>
      </c>
      <c r="I320" t="s">
        <v>707</v>
      </c>
    </row>
    <row r="321" spans="1:9" x14ac:dyDescent="0.25">
      <c r="A321" t="str">
        <f>"9512525FF2"</f>
        <v>9512525FF2</v>
      </c>
      <c r="B321" t="s">
        <v>9</v>
      </c>
      <c r="C321" t="s">
        <v>708</v>
      </c>
      <c r="D321" t="s">
        <v>30</v>
      </c>
      <c r="E321" t="s">
        <v>709</v>
      </c>
      <c r="F321" t="s">
        <v>709</v>
      </c>
      <c r="G321" t="s">
        <v>710</v>
      </c>
      <c r="H321" t="s">
        <v>711</v>
      </c>
      <c r="I321" t="s">
        <v>710</v>
      </c>
    </row>
    <row r="322" spans="1:9" x14ac:dyDescent="0.25">
      <c r="A322" t="str">
        <f>"94999907BF"</f>
        <v>94999907BF</v>
      </c>
      <c r="B322" t="s">
        <v>9</v>
      </c>
      <c r="C322" t="s">
        <v>712</v>
      </c>
      <c r="D322" t="s">
        <v>30</v>
      </c>
      <c r="E322" t="s">
        <v>713</v>
      </c>
      <c r="F322" t="s">
        <v>713</v>
      </c>
      <c r="G322" t="s">
        <v>714</v>
      </c>
      <c r="H322" t="s">
        <v>715</v>
      </c>
    </row>
    <row r="323" spans="1:9" x14ac:dyDescent="0.25">
      <c r="A323" t="str">
        <f>"94993886F6"</f>
        <v>94993886F6</v>
      </c>
      <c r="B323" t="s">
        <v>9</v>
      </c>
      <c r="C323" t="s">
        <v>716</v>
      </c>
      <c r="D323" t="s">
        <v>30</v>
      </c>
      <c r="E323" t="s">
        <v>717</v>
      </c>
      <c r="F323" t="s">
        <v>717</v>
      </c>
      <c r="G323" t="s">
        <v>718</v>
      </c>
      <c r="H323" t="s">
        <v>715</v>
      </c>
    </row>
    <row r="324" spans="1:9" x14ac:dyDescent="0.25">
      <c r="A324" t="str">
        <f>"952257664E"</f>
        <v>952257664E</v>
      </c>
      <c r="B324" t="s">
        <v>9</v>
      </c>
      <c r="C324" t="s">
        <v>719</v>
      </c>
      <c r="D324" t="s">
        <v>30</v>
      </c>
      <c r="E324" t="s">
        <v>720</v>
      </c>
      <c r="F324" t="s">
        <v>720</v>
      </c>
      <c r="G324" t="s">
        <v>721</v>
      </c>
      <c r="H324" t="s">
        <v>722</v>
      </c>
    </row>
    <row r="325" spans="1:9" x14ac:dyDescent="0.25">
      <c r="A325" t="str">
        <f>"944288640A"</f>
        <v>944288640A</v>
      </c>
      <c r="B325" t="s">
        <v>9</v>
      </c>
      <c r="C325" t="s">
        <v>723</v>
      </c>
      <c r="D325" t="s">
        <v>11</v>
      </c>
      <c r="E325" t="s">
        <v>33</v>
      </c>
      <c r="F325" t="s">
        <v>33</v>
      </c>
      <c r="G325" t="s">
        <v>724</v>
      </c>
      <c r="H325" t="s">
        <v>725</v>
      </c>
      <c r="I325" t="s">
        <v>724</v>
      </c>
    </row>
    <row r="326" spans="1:9" x14ac:dyDescent="0.25">
      <c r="A326" t="str">
        <f>"95090013DD"</f>
        <v>95090013DD</v>
      </c>
      <c r="B326" t="s">
        <v>9</v>
      </c>
      <c r="C326" t="s">
        <v>726</v>
      </c>
      <c r="D326" t="s">
        <v>30</v>
      </c>
      <c r="E326" t="s">
        <v>727</v>
      </c>
      <c r="F326" t="s">
        <v>727</v>
      </c>
      <c r="G326" t="s">
        <v>728</v>
      </c>
      <c r="H326" t="s">
        <v>729</v>
      </c>
      <c r="I326" t="s">
        <v>728</v>
      </c>
    </row>
    <row r="327" spans="1:9" x14ac:dyDescent="0.25">
      <c r="A327" t="str">
        <f>"9516828EE5"</f>
        <v>9516828EE5</v>
      </c>
      <c r="B327" t="s">
        <v>9</v>
      </c>
      <c r="C327" t="s">
        <v>730</v>
      </c>
      <c r="D327" t="s">
        <v>30</v>
      </c>
      <c r="E327" t="s">
        <v>731</v>
      </c>
      <c r="F327" t="s">
        <v>731</v>
      </c>
      <c r="G327" t="s">
        <v>732</v>
      </c>
      <c r="H327" t="s">
        <v>729</v>
      </c>
      <c r="I327" t="s">
        <v>732</v>
      </c>
    </row>
    <row r="328" spans="1:9" x14ac:dyDescent="0.25">
      <c r="A328" t="str">
        <f>"9517774B90"</f>
        <v>9517774B90</v>
      </c>
      <c r="B328" t="s">
        <v>9</v>
      </c>
      <c r="C328" t="s">
        <v>733</v>
      </c>
      <c r="D328" t="s">
        <v>30</v>
      </c>
      <c r="E328" t="s">
        <v>734</v>
      </c>
      <c r="F328" t="s">
        <v>734</v>
      </c>
      <c r="G328" t="s">
        <v>735</v>
      </c>
      <c r="H328" t="s">
        <v>729</v>
      </c>
      <c r="I328" t="s">
        <v>735</v>
      </c>
    </row>
    <row r="329" spans="1:9" x14ac:dyDescent="0.25">
      <c r="A329" t="str">
        <f>"9519355441"</f>
        <v>9519355441</v>
      </c>
      <c r="B329" t="s">
        <v>9</v>
      </c>
      <c r="C329" t="s">
        <v>736</v>
      </c>
      <c r="D329" t="s">
        <v>30</v>
      </c>
      <c r="E329" t="s">
        <v>737</v>
      </c>
      <c r="F329" t="s">
        <v>737</v>
      </c>
      <c r="G329" t="s">
        <v>738</v>
      </c>
      <c r="H329" t="s">
        <v>729</v>
      </c>
      <c r="I329" t="s">
        <v>738</v>
      </c>
    </row>
    <row r="330" spans="1:9" x14ac:dyDescent="0.25">
      <c r="A330" t="str">
        <f>"95145696B8"</f>
        <v>95145696B8</v>
      </c>
      <c r="B330" t="s">
        <v>9</v>
      </c>
      <c r="C330" t="s">
        <v>739</v>
      </c>
      <c r="D330" t="s">
        <v>30</v>
      </c>
      <c r="E330" t="s">
        <v>666</v>
      </c>
      <c r="F330" t="s">
        <v>666</v>
      </c>
      <c r="G330" t="s">
        <v>667</v>
      </c>
      <c r="H330" t="s">
        <v>740</v>
      </c>
      <c r="I330" t="s">
        <v>667</v>
      </c>
    </row>
    <row r="331" spans="1:9" x14ac:dyDescent="0.25">
      <c r="A331" t="str">
        <f>"9514575BAA"</f>
        <v>9514575BAA</v>
      </c>
      <c r="B331" t="s">
        <v>9</v>
      </c>
      <c r="C331" t="s">
        <v>741</v>
      </c>
      <c r="D331" t="s">
        <v>30</v>
      </c>
      <c r="E331" t="s">
        <v>666</v>
      </c>
      <c r="F331" t="s">
        <v>666</v>
      </c>
      <c r="G331" t="s">
        <v>369</v>
      </c>
      <c r="H331" t="s">
        <v>742</v>
      </c>
      <c r="I331" t="s">
        <v>369</v>
      </c>
    </row>
    <row r="332" spans="1:9" x14ac:dyDescent="0.25">
      <c r="A332" t="str">
        <f>"9498395384"</f>
        <v>9498395384</v>
      </c>
      <c r="B332" t="s">
        <v>9</v>
      </c>
      <c r="C332" t="s">
        <v>743</v>
      </c>
      <c r="D332" t="s">
        <v>30</v>
      </c>
      <c r="E332" t="s">
        <v>744</v>
      </c>
      <c r="F332" t="s">
        <v>744</v>
      </c>
      <c r="G332" t="s">
        <v>745</v>
      </c>
      <c r="H332" t="s">
        <v>746</v>
      </c>
      <c r="I332" t="s">
        <v>745</v>
      </c>
    </row>
    <row r="333" spans="1:9" x14ac:dyDescent="0.25">
      <c r="A333" t="str">
        <f>"9511434BA1"</f>
        <v>9511434BA1</v>
      </c>
      <c r="B333" t="s">
        <v>9</v>
      </c>
      <c r="C333" t="s">
        <v>747</v>
      </c>
      <c r="D333" t="s">
        <v>30</v>
      </c>
      <c r="E333" t="s">
        <v>666</v>
      </c>
      <c r="F333" t="s">
        <v>666</v>
      </c>
      <c r="G333" t="s">
        <v>748</v>
      </c>
      <c r="H333" t="s">
        <v>749</v>
      </c>
      <c r="I333" t="s">
        <v>748</v>
      </c>
    </row>
    <row r="334" spans="1:9" x14ac:dyDescent="0.25">
      <c r="A334" t="str">
        <f>"94793520BD"</f>
        <v>94793520BD</v>
      </c>
      <c r="B334" t="s">
        <v>9</v>
      </c>
      <c r="C334" t="s">
        <v>750</v>
      </c>
      <c r="D334" t="s">
        <v>30</v>
      </c>
      <c r="E334" t="s">
        <v>751</v>
      </c>
      <c r="F334" t="s">
        <v>751</v>
      </c>
      <c r="G334" t="s">
        <v>752</v>
      </c>
      <c r="H334" t="s">
        <v>753</v>
      </c>
      <c r="I334" t="s">
        <v>752</v>
      </c>
    </row>
    <row r="335" spans="1:9" x14ac:dyDescent="0.25">
      <c r="A335" t="str">
        <f>"9503237F3F"</f>
        <v>9503237F3F</v>
      </c>
      <c r="B335" t="s">
        <v>9</v>
      </c>
      <c r="C335" t="s">
        <v>754</v>
      </c>
      <c r="D335" t="s">
        <v>30</v>
      </c>
      <c r="E335" t="s">
        <v>755</v>
      </c>
      <c r="F335" t="s">
        <v>755</v>
      </c>
      <c r="G335" t="s">
        <v>756</v>
      </c>
      <c r="H335" t="s">
        <v>757</v>
      </c>
      <c r="I335" t="s">
        <v>756</v>
      </c>
    </row>
    <row r="336" spans="1:9" x14ac:dyDescent="0.25">
      <c r="A336" t="str">
        <f>"950311281A"</f>
        <v>950311281A</v>
      </c>
      <c r="B336" t="s">
        <v>9</v>
      </c>
      <c r="C336" t="s">
        <v>758</v>
      </c>
      <c r="D336" t="s">
        <v>30</v>
      </c>
      <c r="E336" t="s">
        <v>759</v>
      </c>
      <c r="F336" t="s">
        <v>759</v>
      </c>
      <c r="G336" t="s">
        <v>760</v>
      </c>
      <c r="H336" t="s">
        <v>761</v>
      </c>
      <c r="I336" t="s">
        <v>760</v>
      </c>
    </row>
    <row r="337" spans="1:9" x14ac:dyDescent="0.25">
      <c r="A337" t="str">
        <f>"9502162823"</f>
        <v>9502162823</v>
      </c>
      <c r="B337" t="s">
        <v>9</v>
      </c>
      <c r="C337" t="s">
        <v>762</v>
      </c>
      <c r="D337" t="s">
        <v>30</v>
      </c>
      <c r="E337" t="s">
        <v>763</v>
      </c>
      <c r="F337" t="s">
        <v>763</v>
      </c>
      <c r="G337" t="s">
        <v>699</v>
      </c>
      <c r="H337" t="s">
        <v>764</v>
      </c>
    </row>
    <row r="338" spans="1:9" x14ac:dyDescent="0.25">
      <c r="A338" t="str">
        <f>"9545342966"</f>
        <v>9545342966</v>
      </c>
      <c r="B338" t="s">
        <v>9</v>
      </c>
      <c r="C338" t="s">
        <v>765</v>
      </c>
      <c r="D338" t="s">
        <v>30</v>
      </c>
      <c r="E338" t="s">
        <v>766</v>
      </c>
      <c r="F338" t="s">
        <v>766</v>
      </c>
      <c r="G338" t="s">
        <v>767</v>
      </c>
      <c r="H338" t="s">
        <v>768</v>
      </c>
      <c r="I338" t="s">
        <v>767</v>
      </c>
    </row>
    <row r="339" spans="1:9" x14ac:dyDescent="0.25">
      <c r="A339" t="str">
        <f>"9483903C54"</f>
        <v>9483903C54</v>
      </c>
      <c r="B339" t="s">
        <v>9</v>
      </c>
      <c r="C339" t="s">
        <v>769</v>
      </c>
      <c r="D339" t="s">
        <v>30</v>
      </c>
      <c r="E339" t="s">
        <v>770</v>
      </c>
      <c r="F339" t="s">
        <v>770</v>
      </c>
      <c r="G339" t="s">
        <v>771</v>
      </c>
      <c r="H339" t="s">
        <v>772</v>
      </c>
    </row>
    <row r="340" spans="1:9" x14ac:dyDescent="0.25">
      <c r="A340" t="str">
        <f>"9495410437"</f>
        <v>9495410437</v>
      </c>
      <c r="B340" t="s">
        <v>9</v>
      </c>
      <c r="C340" t="s">
        <v>773</v>
      </c>
      <c r="D340" t="s">
        <v>30</v>
      </c>
      <c r="E340" t="s">
        <v>774</v>
      </c>
      <c r="F340" t="s">
        <v>774</v>
      </c>
      <c r="G340" t="s">
        <v>775</v>
      </c>
      <c r="H340" t="s">
        <v>776</v>
      </c>
      <c r="I340" t="s">
        <v>777</v>
      </c>
    </row>
    <row r="341" spans="1:9" x14ac:dyDescent="0.25">
      <c r="A341" t="str">
        <f>"9492073270"</f>
        <v>9492073270</v>
      </c>
      <c r="B341" t="s">
        <v>9</v>
      </c>
      <c r="C341" t="s">
        <v>778</v>
      </c>
      <c r="D341" t="s">
        <v>30</v>
      </c>
      <c r="E341" t="s">
        <v>779</v>
      </c>
      <c r="F341" t="s">
        <v>779</v>
      </c>
      <c r="G341" t="s">
        <v>780</v>
      </c>
      <c r="H341" t="s">
        <v>781</v>
      </c>
      <c r="I341" t="s">
        <v>780</v>
      </c>
    </row>
    <row r="342" spans="1:9" x14ac:dyDescent="0.25">
      <c r="A342" t="str">
        <f>"948311955C"</f>
        <v>948311955C</v>
      </c>
      <c r="B342" t="s">
        <v>9</v>
      </c>
      <c r="C342" t="s">
        <v>782</v>
      </c>
      <c r="D342" t="s">
        <v>30</v>
      </c>
      <c r="E342" t="s">
        <v>783</v>
      </c>
      <c r="F342" t="s">
        <v>783</v>
      </c>
      <c r="G342" t="s">
        <v>784</v>
      </c>
      <c r="H342" t="s">
        <v>785</v>
      </c>
      <c r="I342" t="s">
        <v>784</v>
      </c>
    </row>
    <row r="343" spans="1:9" x14ac:dyDescent="0.25">
      <c r="A343" t="str">
        <f>"94536273CB"</f>
        <v>94536273CB</v>
      </c>
      <c r="B343" t="s">
        <v>9</v>
      </c>
      <c r="C343" t="s">
        <v>786</v>
      </c>
      <c r="D343" t="s">
        <v>30</v>
      </c>
      <c r="E343" t="s">
        <v>787</v>
      </c>
      <c r="F343" t="s">
        <v>787</v>
      </c>
      <c r="G343" t="s">
        <v>788</v>
      </c>
      <c r="H343" t="s">
        <v>789</v>
      </c>
      <c r="I343" t="s">
        <v>788</v>
      </c>
    </row>
    <row r="344" spans="1:9" x14ac:dyDescent="0.25">
      <c r="A344" t="str">
        <f>"9462722539"</f>
        <v>9462722539</v>
      </c>
      <c r="B344" t="s">
        <v>9</v>
      </c>
      <c r="C344" t="s">
        <v>790</v>
      </c>
      <c r="D344" t="s">
        <v>30</v>
      </c>
      <c r="E344" t="s">
        <v>791</v>
      </c>
      <c r="F344" t="s">
        <v>791</v>
      </c>
      <c r="G344" t="s">
        <v>635</v>
      </c>
      <c r="H344" t="s">
        <v>792</v>
      </c>
      <c r="I344" t="s">
        <v>635</v>
      </c>
    </row>
    <row r="345" spans="1:9" x14ac:dyDescent="0.25">
      <c r="A345" t="str">
        <f>"9488423E59"</f>
        <v>9488423E59</v>
      </c>
      <c r="B345" t="s">
        <v>9</v>
      </c>
      <c r="C345" t="s">
        <v>793</v>
      </c>
      <c r="D345" t="s">
        <v>30</v>
      </c>
      <c r="E345" t="s">
        <v>128</v>
      </c>
      <c r="F345" t="s">
        <v>128</v>
      </c>
      <c r="G345" t="s">
        <v>794</v>
      </c>
      <c r="H345" t="s">
        <v>795</v>
      </c>
      <c r="I345" t="s">
        <v>794</v>
      </c>
    </row>
    <row r="346" spans="1:9" x14ac:dyDescent="0.25">
      <c r="A346" t="str">
        <f>"9488337763"</f>
        <v>9488337763</v>
      </c>
      <c r="B346" t="s">
        <v>9</v>
      </c>
      <c r="C346" t="s">
        <v>796</v>
      </c>
      <c r="D346" t="s">
        <v>30</v>
      </c>
      <c r="E346" t="s">
        <v>188</v>
      </c>
      <c r="F346" t="s">
        <v>188</v>
      </c>
      <c r="G346" t="s">
        <v>797</v>
      </c>
      <c r="H346" t="s">
        <v>798</v>
      </c>
      <c r="I346" t="s">
        <v>797</v>
      </c>
    </row>
    <row r="347" spans="1:9" x14ac:dyDescent="0.25">
      <c r="A347" t="str">
        <f>"9478887102"</f>
        <v>9478887102</v>
      </c>
      <c r="B347" t="s">
        <v>9</v>
      </c>
      <c r="C347" t="s">
        <v>799</v>
      </c>
      <c r="D347" t="s">
        <v>30</v>
      </c>
      <c r="E347" t="s">
        <v>800</v>
      </c>
      <c r="F347" t="s">
        <v>800</v>
      </c>
      <c r="G347" t="s">
        <v>345</v>
      </c>
      <c r="H347" t="s">
        <v>801</v>
      </c>
      <c r="I347" t="s">
        <v>345</v>
      </c>
    </row>
    <row r="348" spans="1:9" x14ac:dyDescent="0.25">
      <c r="A348" t="str">
        <f>"9479012827"</f>
        <v>9479012827</v>
      </c>
      <c r="B348" t="s">
        <v>9</v>
      </c>
      <c r="C348" t="s">
        <v>802</v>
      </c>
      <c r="D348" t="s">
        <v>30</v>
      </c>
      <c r="E348" t="s">
        <v>803</v>
      </c>
      <c r="F348" t="s">
        <v>803</v>
      </c>
      <c r="G348" t="s">
        <v>804</v>
      </c>
      <c r="H348" t="s">
        <v>805</v>
      </c>
    </row>
    <row r="349" spans="1:9" x14ac:dyDescent="0.25">
      <c r="A349" t="str">
        <f>"946644016B"</f>
        <v>946644016B</v>
      </c>
      <c r="B349" t="s">
        <v>9</v>
      </c>
      <c r="C349" t="s">
        <v>806</v>
      </c>
      <c r="D349" t="s">
        <v>30</v>
      </c>
      <c r="E349" t="s">
        <v>807</v>
      </c>
      <c r="F349" t="s">
        <v>807</v>
      </c>
      <c r="G349" t="s">
        <v>808</v>
      </c>
      <c r="H349" t="s">
        <v>809</v>
      </c>
    </row>
    <row r="350" spans="1:9" x14ac:dyDescent="0.25">
      <c r="A350" t="str">
        <f>"9475626DEE"</f>
        <v>9475626DEE</v>
      </c>
      <c r="B350" t="s">
        <v>9</v>
      </c>
      <c r="C350" t="s">
        <v>810</v>
      </c>
      <c r="D350" t="s">
        <v>30</v>
      </c>
      <c r="E350" t="s">
        <v>160</v>
      </c>
      <c r="F350" t="s">
        <v>160</v>
      </c>
      <c r="G350" t="s">
        <v>811</v>
      </c>
      <c r="H350" t="s">
        <v>812</v>
      </c>
    </row>
    <row r="351" spans="1:9" x14ac:dyDescent="0.25">
      <c r="A351" t="str">
        <f>"942562824A"</f>
        <v>942562824A</v>
      </c>
      <c r="B351" t="s">
        <v>9</v>
      </c>
      <c r="C351" t="s">
        <v>813</v>
      </c>
      <c r="D351" t="s">
        <v>30</v>
      </c>
      <c r="E351" t="s">
        <v>814</v>
      </c>
      <c r="F351" t="s">
        <v>814</v>
      </c>
      <c r="G351" t="s">
        <v>694</v>
      </c>
      <c r="H351" t="s">
        <v>815</v>
      </c>
      <c r="I351" t="s">
        <v>694</v>
      </c>
    </row>
    <row r="352" spans="1:9" x14ac:dyDescent="0.25">
      <c r="A352" t="str">
        <f>"94636681E4"</f>
        <v>94636681E4</v>
      </c>
      <c r="B352" t="s">
        <v>9</v>
      </c>
      <c r="C352" t="s">
        <v>816</v>
      </c>
      <c r="D352" t="s">
        <v>30</v>
      </c>
      <c r="E352" t="s">
        <v>817</v>
      </c>
      <c r="F352" t="s">
        <v>817</v>
      </c>
      <c r="G352" t="s">
        <v>818</v>
      </c>
      <c r="H352" t="s">
        <v>819</v>
      </c>
      <c r="I352" t="s">
        <v>818</v>
      </c>
    </row>
    <row r="353" spans="1:9" x14ac:dyDescent="0.25">
      <c r="A353" t="str">
        <f>"947996281E"</f>
        <v>947996281E</v>
      </c>
      <c r="B353" t="s">
        <v>9</v>
      </c>
      <c r="C353" t="s">
        <v>820</v>
      </c>
      <c r="D353" t="s">
        <v>30</v>
      </c>
      <c r="E353" t="s">
        <v>821</v>
      </c>
      <c r="F353" t="s">
        <v>821</v>
      </c>
      <c r="G353" t="s">
        <v>822</v>
      </c>
      <c r="H353" t="s">
        <v>823</v>
      </c>
      <c r="I353" t="s">
        <v>822</v>
      </c>
    </row>
    <row r="354" spans="1:9" x14ac:dyDescent="0.25">
      <c r="A354" t="str">
        <f>"94647628AE"</f>
        <v>94647628AE</v>
      </c>
      <c r="B354" t="s">
        <v>9</v>
      </c>
      <c r="C354" t="s">
        <v>824</v>
      </c>
      <c r="D354" t="s">
        <v>30</v>
      </c>
      <c r="E354" t="s">
        <v>825</v>
      </c>
      <c r="F354" t="s">
        <v>825</v>
      </c>
      <c r="G354" t="s">
        <v>826</v>
      </c>
      <c r="H354" t="s">
        <v>827</v>
      </c>
    </row>
    <row r="355" spans="1:9" x14ac:dyDescent="0.25">
      <c r="A355" t="str">
        <f>"9478879A65"</f>
        <v>9478879A65</v>
      </c>
      <c r="B355" t="s">
        <v>9</v>
      </c>
      <c r="C355" t="s">
        <v>828</v>
      </c>
      <c r="D355" t="s">
        <v>30</v>
      </c>
      <c r="E355" t="s">
        <v>829</v>
      </c>
      <c r="F355" t="s">
        <v>829</v>
      </c>
      <c r="G355" t="s">
        <v>830</v>
      </c>
      <c r="H355" t="s">
        <v>831</v>
      </c>
      <c r="I355" t="s">
        <v>830</v>
      </c>
    </row>
    <row r="356" spans="1:9" x14ac:dyDescent="0.25">
      <c r="A356" t="str">
        <f>"9453775DEA"</f>
        <v>9453775DEA</v>
      </c>
      <c r="B356" t="s">
        <v>9</v>
      </c>
      <c r="C356" t="s">
        <v>832</v>
      </c>
      <c r="D356" t="s">
        <v>30</v>
      </c>
      <c r="E356" t="s">
        <v>833</v>
      </c>
      <c r="F356" t="s">
        <v>833</v>
      </c>
      <c r="G356" t="s">
        <v>834</v>
      </c>
      <c r="H356" t="s">
        <v>835</v>
      </c>
    </row>
    <row r="357" spans="1:9" x14ac:dyDescent="0.25">
      <c r="A357" t="str">
        <f>"9429783719"</f>
        <v>9429783719</v>
      </c>
      <c r="B357" t="s">
        <v>9</v>
      </c>
      <c r="C357" t="s">
        <v>836</v>
      </c>
      <c r="D357" t="s">
        <v>30</v>
      </c>
      <c r="E357" t="s">
        <v>837</v>
      </c>
      <c r="F357" t="s">
        <v>837</v>
      </c>
      <c r="G357" t="s">
        <v>838</v>
      </c>
      <c r="H357" t="s">
        <v>839</v>
      </c>
      <c r="I357" t="s">
        <v>838</v>
      </c>
    </row>
    <row r="358" spans="1:9" x14ac:dyDescent="0.25">
      <c r="A358" t="str">
        <f>"9465967B13"</f>
        <v>9465967B13</v>
      </c>
      <c r="B358" t="s">
        <v>9</v>
      </c>
      <c r="C358" t="s">
        <v>840</v>
      </c>
      <c r="D358" t="s">
        <v>30</v>
      </c>
      <c r="E358" t="s">
        <v>152</v>
      </c>
      <c r="F358" t="s">
        <v>152</v>
      </c>
      <c r="G358" t="s">
        <v>841</v>
      </c>
      <c r="H358" t="s">
        <v>842</v>
      </c>
      <c r="I358" t="s">
        <v>841</v>
      </c>
    </row>
    <row r="359" spans="1:9" x14ac:dyDescent="0.25">
      <c r="A359" t="str">
        <f>"94424425A3"</f>
        <v>94424425A3</v>
      </c>
      <c r="B359" t="s">
        <v>9</v>
      </c>
      <c r="C359" t="s">
        <v>843</v>
      </c>
      <c r="D359" t="s">
        <v>30</v>
      </c>
      <c r="E359" t="s">
        <v>844</v>
      </c>
      <c r="F359" t="s">
        <v>844</v>
      </c>
      <c r="G359" t="s">
        <v>845</v>
      </c>
      <c r="H359" t="s">
        <v>846</v>
      </c>
      <c r="I359" t="s">
        <v>845</v>
      </c>
    </row>
    <row r="360" spans="1:9" x14ac:dyDescent="0.25">
      <c r="A360" t="str">
        <f>"9455437972"</f>
        <v>9455437972</v>
      </c>
      <c r="B360" t="s">
        <v>9</v>
      </c>
      <c r="C360" t="s">
        <v>847</v>
      </c>
      <c r="D360" t="s">
        <v>30</v>
      </c>
      <c r="E360" t="s">
        <v>848</v>
      </c>
      <c r="F360" t="s">
        <v>848</v>
      </c>
      <c r="G360" t="s">
        <v>849</v>
      </c>
      <c r="H360" t="s">
        <v>850</v>
      </c>
      <c r="I360" t="s">
        <v>849</v>
      </c>
    </row>
    <row r="361" spans="1:9" x14ac:dyDescent="0.25">
      <c r="A361" t="str">
        <f>"9454722B68"</f>
        <v>9454722B68</v>
      </c>
      <c r="B361" t="s">
        <v>9</v>
      </c>
      <c r="C361" t="s">
        <v>851</v>
      </c>
      <c r="D361" t="s">
        <v>30</v>
      </c>
      <c r="E361" t="s">
        <v>686</v>
      </c>
      <c r="F361" t="s">
        <v>686</v>
      </c>
      <c r="G361" t="s">
        <v>86</v>
      </c>
      <c r="H361" t="s">
        <v>852</v>
      </c>
      <c r="I361" t="s">
        <v>86</v>
      </c>
    </row>
    <row r="362" spans="1:9" x14ac:dyDescent="0.25">
      <c r="A362" t="str">
        <f>"9463673603"</f>
        <v>9463673603</v>
      </c>
      <c r="B362" t="s">
        <v>9</v>
      </c>
      <c r="C362" t="s">
        <v>853</v>
      </c>
      <c r="D362" t="s">
        <v>30</v>
      </c>
      <c r="E362" t="s">
        <v>854</v>
      </c>
      <c r="F362" t="s">
        <v>854</v>
      </c>
      <c r="G362" t="s">
        <v>855</v>
      </c>
      <c r="H362" t="s">
        <v>856</v>
      </c>
      <c r="I362" t="s">
        <v>855</v>
      </c>
    </row>
    <row r="363" spans="1:9" x14ac:dyDescent="0.25">
      <c r="A363" t="str">
        <f>"93074384D0"</f>
        <v>93074384D0</v>
      </c>
      <c r="B363" t="s">
        <v>9</v>
      </c>
      <c r="C363" t="s">
        <v>857</v>
      </c>
      <c r="D363" t="s">
        <v>30</v>
      </c>
      <c r="E363" t="s">
        <v>858</v>
      </c>
      <c r="F363" t="s">
        <v>858</v>
      </c>
      <c r="G363" t="s">
        <v>493</v>
      </c>
      <c r="H363" t="s">
        <v>859</v>
      </c>
      <c r="I363" t="s">
        <v>493</v>
      </c>
    </row>
    <row r="364" spans="1:9" x14ac:dyDescent="0.25">
      <c r="A364" t="str">
        <f>"9457607830"</f>
        <v>9457607830</v>
      </c>
      <c r="B364" t="s">
        <v>9</v>
      </c>
      <c r="C364" t="s">
        <v>860</v>
      </c>
      <c r="D364" t="s">
        <v>15</v>
      </c>
      <c r="E364" t="s">
        <v>188</v>
      </c>
      <c r="F364" t="s">
        <v>188</v>
      </c>
      <c r="G364" t="s">
        <v>861</v>
      </c>
      <c r="H364" t="s">
        <v>862</v>
      </c>
      <c r="I364" t="s">
        <v>861</v>
      </c>
    </row>
    <row r="365" spans="1:9" x14ac:dyDescent="0.25">
      <c r="A365" t="str">
        <f>"9460252EE7"</f>
        <v>9460252EE7</v>
      </c>
      <c r="B365" t="s">
        <v>9</v>
      </c>
      <c r="C365" t="s">
        <v>863</v>
      </c>
      <c r="D365" t="s">
        <v>30</v>
      </c>
      <c r="E365" t="s">
        <v>96</v>
      </c>
      <c r="F365" t="s">
        <v>96</v>
      </c>
      <c r="G365" t="s">
        <v>864</v>
      </c>
      <c r="H365" t="s">
        <v>865</v>
      </c>
      <c r="I365" t="s">
        <v>864</v>
      </c>
    </row>
    <row r="366" spans="1:9" x14ac:dyDescent="0.25">
      <c r="A366" t="str">
        <f>"9392506D23"</f>
        <v>9392506D23</v>
      </c>
      <c r="B366" t="s">
        <v>9</v>
      </c>
      <c r="C366" t="s">
        <v>866</v>
      </c>
      <c r="D366" t="s">
        <v>30</v>
      </c>
      <c r="E366" t="s">
        <v>867</v>
      </c>
      <c r="F366" t="s">
        <v>867</v>
      </c>
      <c r="G366" t="s">
        <v>868</v>
      </c>
      <c r="H366" t="s">
        <v>865</v>
      </c>
      <c r="I366" t="s">
        <v>868</v>
      </c>
    </row>
    <row r="367" spans="1:9" x14ac:dyDescent="0.25">
      <c r="A367" t="str">
        <f>"9442363472"</f>
        <v>9442363472</v>
      </c>
      <c r="B367" t="s">
        <v>9</v>
      </c>
      <c r="C367" t="s">
        <v>869</v>
      </c>
      <c r="D367" t="s">
        <v>30</v>
      </c>
      <c r="E367" t="s">
        <v>96</v>
      </c>
      <c r="F367" t="s">
        <v>96</v>
      </c>
      <c r="G367" t="s">
        <v>870</v>
      </c>
      <c r="H367" t="s">
        <v>871</v>
      </c>
      <c r="I367" t="s">
        <v>870</v>
      </c>
    </row>
    <row r="368" spans="1:9" x14ac:dyDescent="0.25">
      <c r="A368" t="str">
        <f>"9457194360"</f>
        <v>9457194360</v>
      </c>
      <c r="B368" t="s">
        <v>9</v>
      </c>
      <c r="C368" t="s">
        <v>872</v>
      </c>
      <c r="D368" t="s">
        <v>30</v>
      </c>
      <c r="E368" t="s">
        <v>680</v>
      </c>
      <c r="F368" t="s">
        <v>680</v>
      </c>
      <c r="G368" t="s">
        <v>873</v>
      </c>
      <c r="H368" t="s">
        <v>874</v>
      </c>
      <c r="I368" t="s">
        <v>873</v>
      </c>
    </row>
    <row r="369" spans="1:9" x14ac:dyDescent="0.25">
      <c r="A369" t="str">
        <f>"9458192AF1"</f>
        <v>9458192AF1</v>
      </c>
      <c r="B369" t="s">
        <v>9</v>
      </c>
      <c r="C369" t="s">
        <v>875</v>
      </c>
      <c r="D369" t="s">
        <v>30</v>
      </c>
      <c r="E369" t="s">
        <v>152</v>
      </c>
      <c r="F369" t="s">
        <v>152</v>
      </c>
      <c r="G369" t="s">
        <v>876</v>
      </c>
      <c r="H369" t="s">
        <v>874</v>
      </c>
      <c r="I369" t="s">
        <v>876</v>
      </c>
    </row>
    <row r="370" spans="1:9" x14ac:dyDescent="0.25">
      <c r="A370" t="str">
        <f>"9457300AD7"</f>
        <v>9457300AD7</v>
      </c>
      <c r="B370" t="s">
        <v>9</v>
      </c>
      <c r="C370" t="s">
        <v>877</v>
      </c>
      <c r="D370" t="s">
        <v>30</v>
      </c>
      <c r="E370" t="s">
        <v>152</v>
      </c>
      <c r="F370" t="s">
        <v>152</v>
      </c>
      <c r="G370" t="s">
        <v>855</v>
      </c>
      <c r="H370" t="s">
        <v>874</v>
      </c>
      <c r="I370" t="s">
        <v>855</v>
      </c>
    </row>
    <row r="371" spans="1:9" x14ac:dyDescent="0.25">
      <c r="A371" t="str">
        <f>"9450790E9D"</f>
        <v>9450790E9D</v>
      </c>
      <c r="B371" t="s">
        <v>9</v>
      </c>
      <c r="C371" t="s">
        <v>878</v>
      </c>
      <c r="D371" t="s">
        <v>11</v>
      </c>
      <c r="E371" t="s">
        <v>12</v>
      </c>
      <c r="F371" t="s">
        <v>12</v>
      </c>
      <c r="G371" t="s">
        <v>879</v>
      </c>
      <c r="H371" t="s">
        <v>880</v>
      </c>
      <c r="I371" t="s">
        <v>879</v>
      </c>
    </row>
    <row r="372" spans="1:9" x14ac:dyDescent="0.25">
      <c r="A372" t="str">
        <f>"9450709BC6"</f>
        <v>9450709BC6</v>
      </c>
      <c r="B372" t="s">
        <v>9</v>
      </c>
      <c r="C372" t="s">
        <v>881</v>
      </c>
      <c r="D372" t="s">
        <v>11</v>
      </c>
      <c r="E372" t="s">
        <v>12</v>
      </c>
      <c r="F372" t="s">
        <v>12</v>
      </c>
      <c r="G372" t="s">
        <v>756</v>
      </c>
      <c r="H372" t="s">
        <v>880</v>
      </c>
      <c r="I372" t="s">
        <v>756</v>
      </c>
    </row>
    <row r="373" spans="1:9" x14ac:dyDescent="0.25">
      <c r="A373" t="str">
        <f>"945077309A"</f>
        <v>945077309A</v>
      </c>
      <c r="B373" t="s">
        <v>9</v>
      </c>
      <c r="C373" t="s">
        <v>882</v>
      </c>
      <c r="D373" t="s">
        <v>11</v>
      </c>
      <c r="E373" t="s">
        <v>12</v>
      </c>
      <c r="F373" t="s">
        <v>12</v>
      </c>
      <c r="G373" t="s">
        <v>883</v>
      </c>
      <c r="H373" t="s">
        <v>880</v>
      </c>
      <c r="I373" t="s">
        <v>883</v>
      </c>
    </row>
    <row r="374" spans="1:9" x14ac:dyDescent="0.25">
      <c r="A374" t="str">
        <f>"94504630C8"</f>
        <v>94504630C8</v>
      </c>
      <c r="B374" t="s">
        <v>9</v>
      </c>
      <c r="C374" t="s">
        <v>884</v>
      </c>
      <c r="D374" t="s">
        <v>30</v>
      </c>
      <c r="E374" t="s">
        <v>96</v>
      </c>
      <c r="F374" t="s">
        <v>96</v>
      </c>
      <c r="G374" t="s">
        <v>885</v>
      </c>
      <c r="H374" t="s">
        <v>886</v>
      </c>
      <c r="I374" t="s">
        <v>885</v>
      </c>
    </row>
    <row r="375" spans="1:9" x14ac:dyDescent="0.25">
      <c r="A375" t="str">
        <f>"9450850025"</f>
        <v>9450850025</v>
      </c>
      <c r="B375" t="s">
        <v>9</v>
      </c>
      <c r="C375" t="s">
        <v>887</v>
      </c>
      <c r="D375" t="s">
        <v>30</v>
      </c>
      <c r="E375" t="s">
        <v>888</v>
      </c>
      <c r="F375" t="s">
        <v>888</v>
      </c>
      <c r="G375" t="s">
        <v>889</v>
      </c>
      <c r="H375" t="s">
        <v>890</v>
      </c>
      <c r="I375" t="s">
        <v>889</v>
      </c>
    </row>
    <row r="376" spans="1:9" x14ac:dyDescent="0.25">
      <c r="A376" t="str">
        <f>"9455441CBE"</f>
        <v>9455441CBE</v>
      </c>
      <c r="B376" t="s">
        <v>9</v>
      </c>
      <c r="C376" t="s">
        <v>891</v>
      </c>
      <c r="D376" t="s">
        <v>11</v>
      </c>
      <c r="E376" t="s">
        <v>892</v>
      </c>
      <c r="F376" t="s">
        <v>892</v>
      </c>
      <c r="G376" t="s">
        <v>893</v>
      </c>
      <c r="H376" t="s">
        <v>894</v>
      </c>
      <c r="I376" t="s">
        <v>893</v>
      </c>
    </row>
    <row r="377" spans="1:9" x14ac:dyDescent="0.25">
      <c r="A377" t="str">
        <f>"9447072270"</f>
        <v>9447072270</v>
      </c>
      <c r="B377" t="s">
        <v>9</v>
      </c>
      <c r="C377" t="s">
        <v>895</v>
      </c>
      <c r="D377" t="s">
        <v>11</v>
      </c>
      <c r="E377" t="s">
        <v>160</v>
      </c>
      <c r="F377" t="s">
        <v>160</v>
      </c>
      <c r="G377" t="s">
        <v>161</v>
      </c>
      <c r="H377" t="s">
        <v>896</v>
      </c>
      <c r="I377" t="s">
        <v>161</v>
      </c>
    </row>
    <row r="378" spans="1:9" x14ac:dyDescent="0.25">
      <c r="A378" t="str">
        <f>"9428433D09"</f>
        <v>9428433D09</v>
      </c>
      <c r="B378" t="s">
        <v>9</v>
      </c>
      <c r="C378" t="s">
        <v>897</v>
      </c>
      <c r="D378" t="s">
        <v>30</v>
      </c>
      <c r="E378" t="s">
        <v>898</v>
      </c>
      <c r="F378" t="s">
        <v>898</v>
      </c>
      <c r="G378" t="s">
        <v>899</v>
      </c>
      <c r="H378" t="s">
        <v>900</v>
      </c>
      <c r="I378" t="s">
        <v>901</v>
      </c>
    </row>
    <row r="379" spans="1:9" x14ac:dyDescent="0.25">
      <c r="A379" t="str">
        <f>"9443273367"</f>
        <v>9443273367</v>
      </c>
      <c r="B379" t="s">
        <v>9</v>
      </c>
      <c r="C379" t="s">
        <v>902</v>
      </c>
      <c r="D379" t="s">
        <v>30</v>
      </c>
      <c r="E379" t="s">
        <v>903</v>
      </c>
      <c r="F379" t="s">
        <v>903</v>
      </c>
      <c r="G379" t="s">
        <v>904</v>
      </c>
      <c r="H379" t="s">
        <v>905</v>
      </c>
      <c r="I379" t="s">
        <v>904</v>
      </c>
    </row>
    <row r="380" spans="1:9" x14ac:dyDescent="0.25">
      <c r="A380" t="str">
        <f>"9438106B73"</f>
        <v>9438106B73</v>
      </c>
      <c r="B380" t="s">
        <v>9</v>
      </c>
      <c r="C380" t="s">
        <v>906</v>
      </c>
      <c r="D380" t="s">
        <v>30</v>
      </c>
      <c r="E380" t="s">
        <v>854</v>
      </c>
      <c r="F380" t="s">
        <v>854</v>
      </c>
      <c r="G380" t="s">
        <v>167</v>
      </c>
      <c r="H380" t="s">
        <v>907</v>
      </c>
      <c r="I380" t="s">
        <v>167</v>
      </c>
    </row>
    <row r="381" spans="1:9" x14ac:dyDescent="0.25">
      <c r="A381" t="str">
        <f>"9392486CA2"</f>
        <v>9392486CA2</v>
      </c>
      <c r="B381" t="s">
        <v>9</v>
      </c>
      <c r="C381" t="s">
        <v>908</v>
      </c>
      <c r="D381" t="s">
        <v>30</v>
      </c>
      <c r="E381" t="s">
        <v>867</v>
      </c>
      <c r="F381" t="s">
        <v>867</v>
      </c>
      <c r="G381" t="s">
        <v>909</v>
      </c>
      <c r="H381" t="s">
        <v>910</v>
      </c>
      <c r="I381" t="s">
        <v>909</v>
      </c>
    </row>
    <row r="382" spans="1:9" x14ac:dyDescent="0.25">
      <c r="A382" t="str">
        <f>"92953930F8"</f>
        <v>92953930F8</v>
      </c>
      <c r="B382" t="s">
        <v>9</v>
      </c>
      <c r="C382" t="s">
        <v>911</v>
      </c>
      <c r="D382" t="s">
        <v>30</v>
      </c>
      <c r="E382" t="s">
        <v>912</v>
      </c>
      <c r="F382" t="s">
        <v>912</v>
      </c>
      <c r="G382" t="s">
        <v>913</v>
      </c>
      <c r="H382" t="s">
        <v>914</v>
      </c>
    </row>
    <row r="383" spans="1:9" x14ac:dyDescent="0.25">
      <c r="A383" t="str">
        <f>"9450733F93"</f>
        <v>9450733F93</v>
      </c>
      <c r="B383" t="s">
        <v>9</v>
      </c>
      <c r="C383" t="s">
        <v>915</v>
      </c>
      <c r="D383" t="s">
        <v>11</v>
      </c>
      <c r="E383" t="s">
        <v>12</v>
      </c>
      <c r="F383" t="s">
        <v>12</v>
      </c>
      <c r="G383" t="s">
        <v>916</v>
      </c>
      <c r="H383" t="s">
        <v>917</v>
      </c>
    </row>
    <row r="384" spans="1:9" x14ac:dyDescent="0.25">
      <c r="A384" t="str">
        <f>"94433009AD"</f>
        <v>94433009AD</v>
      </c>
      <c r="B384" t="s">
        <v>9</v>
      </c>
      <c r="C384" t="s">
        <v>918</v>
      </c>
      <c r="D384" t="s">
        <v>30</v>
      </c>
      <c r="E384" t="s">
        <v>919</v>
      </c>
      <c r="F384" t="s">
        <v>919</v>
      </c>
      <c r="G384" t="s">
        <v>920</v>
      </c>
      <c r="H384" t="s">
        <v>921</v>
      </c>
      <c r="I384" t="s">
        <v>920</v>
      </c>
    </row>
    <row r="385" spans="1:9" x14ac:dyDescent="0.25">
      <c r="A385" t="str">
        <f>"944136902D"</f>
        <v>944136902D</v>
      </c>
      <c r="B385" t="s">
        <v>9</v>
      </c>
      <c r="C385" t="s">
        <v>922</v>
      </c>
      <c r="D385" t="s">
        <v>30</v>
      </c>
      <c r="E385" t="s">
        <v>923</v>
      </c>
      <c r="F385" t="s">
        <v>923</v>
      </c>
      <c r="G385" t="s">
        <v>924</v>
      </c>
      <c r="H385" t="s">
        <v>925</v>
      </c>
      <c r="I385" t="s">
        <v>926</v>
      </c>
    </row>
    <row r="386" spans="1:9" x14ac:dyDescent="0.25">
      <c r="A386" t="str">
        <f>"943679626A"</f>
        <v>943679626A</v>
      </c>
      <c r="B386" t="s">
        <v>9</v>
      </c>
      <c r="C386" t="s">
        <v>927</v>
      </c>
      <c r="D386" t="s">
        <v>30</v>
      </c>
      <c r="E386" t="s">
        <v>928</v>
      </c>
      <c r="F386" t="s">
        <v>928</v>
      </c>
      <c r="G386" t="s">
        <v>929</v>
      </c>
      <c r="H386" t="s">
        <v>930</v>
      </c>
      <c r="I386" t="s">
        <v>929</v>
      </c>
    </row>
    <row r="387" spans="1:9" x14ac:dyDescent="0.25">
      <c r="A387" t="str">
        <f>"94366390DB"</f>
        <v>94366390DB</v>
      </c>
      <c r="B387" t="s">
        <v>9</v>
      </c>
      <c r="C387" t="s">
        <v>931</v>
      </c>
      <c r="D387" t="s">
        <v>11</v>
      </c>
      <c r="E387" t="s">
        <v>160</v>
      </c>
      <c r="F387" t="s">
        <v>160</v>
      </c>
      <c r="G387" t="s">
        <v>932</v>
      </c>
      <c r="H387" t="s">
        <v>930</v>
      </c>
      <c r="I387" t="s">
        <v>932</v>
      </c>
    </row>
    <row r="388" spans="1:9" x14ac:dyDescent="0.25">
      <c r="A388" t="str">
        <f>"94370693B3"</f>
        <v>94370693B3</v>
      </c>
      <c r="B388" t="s">
        <v>9</v>
      </c>
      <c r="C388" t="s">
        <v>933</v>
      </c>
      <c r="D388" t="s">
        <v>30</v>
      </c>
      <c r="E388" t="s">
        <v>934</v>
      </c>
      <c r="F388" t="s">
        <v>934</v>
      </c>
      <c r="G388" t="s">
        <v>195</v>
      </c>
      <c r="H388" t="s">
        <v>930</v>
      </c>
      <c r="I388" t="s">
        <v>195</v>
      </c>
    </row>
    <row r="389" spans="1:9" x14ac:dyDescent="0.25">
      <c r="A389" t="str">
        <f>"934375568C"</f>
        <v>934375568C</v>
      </c>
      <c r="B389" t="s">
        <v>9</v>
      </c>
      <c r="C389" t="s">
        <v>935</v>
      </c>
      <c r="D389" t="s">
        <v>30</v>
      </c>
      <c r="E389" t="s">
        <v>67</v>
      </c>
      <c r="F389" t="s">
        <v>67</v>
      </c>
      <c r="G389" t="s">
        <v>936</v>
      </c>
      <c r="H389" t="s">
        <v>937</v>
      </c>
    </row>
    <row r="390" spans="1:9" x14ac:dyDescent="0.25">
      <c r="A390" t="str">
        <f>"942997123F"</f>
        <v>942997123F</v>
      </c>
      <c r="B390" t="s">
        <v>9</v>
      </c>
      <c r="C390" t="s">
        <v>938</v>
      </c>
      <c r="D390" t="s">
        <v>30</v>
      </c>
      <c r="E390" t="s">
        <v>939</v>
      </c>
      <c r="F390" t="s">
        <v>939</v>
      </c>
      <c r="G390" t="s">
        <v>940</v>
      </c>
      <c r="H390" t="s">
        <v>941</v>
      </c>
      <c r="I390" t="s">
        <v>940</v>
      </c>
    </row>
    <row r="391" spans="1:9" x14ac:dyDescent="0.25">
      <c r="A391" t="str">
        <f>"9414392A0A"</f>
        <v>9414392A0A</v>
      </c>
      <c r="B391" t="s">
        <v>9</v>
      </c>
      <c r="C391" t="s">
        <v>942</v>
      </c>
      <c r="D391" t="s">
        <v>30</v>
      </c>
      <c r="E391" t="s">
        <v>943</v>
      </c>
      <c r="F391" t="s">
        <v>943</v>
      </c>
      <c r="G391" t="s">
        <v>944</v>
      </c>
      <c r="H391" t="s">
        <v>945</v>
      </c>
      <c r="I391" t="s">
        <v>944</v>
      </c>
    </row>
    <row r="392" spans="1:9" x14ac:dyDescent="0.25">
      <c r="A392" t="str">
        <f>"941978192F"</f>
        <v>941978192F</v>
      </c>
      <c r="B392" t="s">
        <v>9</v>
      </c>
      <c r="C392" t="s">
        <v>946</v>
      </c>
      <c r="D392" t="s">
        <v>30</v>
      </c>
      <c r="E392" t="s">
        <v>947</v>
      </c>
      <c r="F392" t="s">
        <v>947</v>
      </c>
      <c r="G392" t="s">
        <v>948</v>
      </c>
      <c r="H392" t="s">
        <v>949</v>
      </c>
      <c r="I392" t="s">
        <v>948</v>
      </c>
    </row>
    <row r="393" spans="1:9" x14ac:dyDescent="0.25">
      <c r="A393" t="str">
        <f>"939045509D"</f>
        <v>939045509D</v>
      </c>
      <c r="B393" t="s">
        <v>9</v>
      </c>
      <c r="C393" t="s">
        <v>950</v>
      </c>
      <c r="D393" t="s">
        <v>30</v>
      </c>
      <c r="E393" t="s">
        <v>951</v>
      </c>
      <c r="F393" t="s">
        <v>951</v>
      </c>
      <c r="G393" t="s">
        <v>952</v>
      </c>
      <c r="H393" t="s">
        <v>953</v>
      </c>
      <c r="I393" t="s">
        <v>952</v>
      </c>
    </row>
    <row r="394" spans="1:9" x14ac:dyDescent="0.25">
      <c r="A394" t="str">
        <f>"9464188EFE"</f>
        <v>9464188EFE</v>
      </c>
      <c r="B394" t="s">
        <v>9</v>
      </c>
      <c r="C394" t="s">
        <v>954</v>
      </c>
      <c r="D394" t="s">
        <v>30</v>
      </c>
      <c r="E394" t="s">
        <v>955</v>
      </c>
      <c r="F394" t="s">
        <v>955</v>
      </c>
      <c r="G394" t="s">
        <v>956</v>
      </c>
      <c r="H394" t="s">
        <v>957</v>
      </c>
      <c r="I394" t="s">
        <v>956</v>
      </c>
    </row>
    <row r="395" spans="1:9" x14ac:dyDescent="0.25">
      <c r="A395" t="str">
        <f>"9417458C2E"</f>
        <v>9417458C2E</v>
      </c>
      <c r="B395" t="s">
        <v>9</v>
      </c>
      <c r="C395" t="s">
        <v>958</v>
      </c>
      <c r="D395" t="s">
        <v>30</v>
      </c>
      <c r="E395" t="s">
        <v>959</v>
      </c>
      <c r="F395" t="s">
        <v>959</v>
      </c>
      <c r="G395" t="s">
        <v>960</v>
      </c>
      <c r="H395" t="s">
        <v>961</v>
      </c>
      <c r="I395" t="s">
        <v>960</v>
      </c>
    </row>
    <row r="396" spans="1:9" x14ac:dyDescent="0.25">
      <c r="A396" t="str">
        <f>"9417490698"</f>
        <v>9417490698</v>
      </c>
      <c r="B396" t="s">
        <v>9</v>
      </c>
      <c r="C396" t="s">
        <v>962</v>
      </c>
      <c r="D396" t="s">
        <v>30</v>
      </c>
      <c r="E396" t="s">
        <v>963</v>
      </c>
      <c r="F396" t="s">
        <v>963</v>
      </c>
      <c r="G396" t="s">
        <v>964</v>
      </c>
      <c r="H396" t="s">
        <v>965</v>
      </c>
      <c r="I396" t="s">
        <v>964</v>
      </c>
    </row>
    <row r="397" spans="1:9" x14ac:dyDescent="0.25">
      <c r="A397" t="str">
        <f>"94219051F9"</f>
        <v>94219051F9</v>
      </c>
      <c r="B397" t="s">
        <v>9</v>
      </c>
      <c r="C397" t="s">
        <v>966</v>
      </c>
      <c r="D397" t="s">
        <v>11</v>
      </c>
      <c r="E397" t="s">
        <v>160</v>
      </c>
      <c r="F397" t="s">
        <v>160</v>
      </c>
      <c r="G397" t="s">
        <v>967</v>
      </c>
      <c r="H397" t="s">
        <v>968</v>
      </c>
      <c r="I397" t="s">
        <v>967</v>
      </c>
    </row>
    <row r="398" spans="1:9" x14ac:dyDescent="0.25">
      <c r="A398" t="str">
        <f>"9366654766"</f>
        <v>9366654766</v>
      </c>
      <c r="B398" t="s">
        <v>9</v>
      </c>
      <c r="C398" t="s">
        <v>969</v>
      </c>
      <c r="D398" t="s">
        <v>30</v>
      </c>
      <c r="E398" t="s">
        <v>774</v>
      </c>
      <c r="F398" t="s">
        <v>774</v>
      </c>
      <c r="G398" t="s">
        <v>970</v>
      </c>
      <c r="H398" t="s">
        <v>971</v>
      </c>
    </row>
    <row r="399" spans="1:9" x14ac:dyDescent="0.25">
      <c r="A399" t="str">
        <f>"93212277DA"</f>
        <v>93212277DA</v>
      </c>
      <c r="B399" t="s">
        <v>9</v>
      </c>
      <c r="C399" t="s">
        <v>972</v>
      </c>
      <c r="D399" t="s">
        <v>30</v>
      </c>
      <c r="E399" t="s">
        <v>973</v>
      </c>
      <c r="F399" t="s">
        <v>973</v>
      </c>
      <c r="G399" t="s">
        <v>974</v>
      </c>
      <c r="H399" t="s">
        <v>975</v>
      </c>
      <c r="I399" t="s">
        <v>974</v>
      </c>
    </row>
    <row r="400" spans="1:9" x14ac:dyDescent="0.25">
      <c r="A400" t="str">
        <f>"9416526B12"</f>
        <v>9416526B12</v>
      </c>
      <c r="B400" t="s">
        <v>9</v>
      </c>
      <c r="C400" t="s">
        <v>976</v>
      </c>
      <c r="D400" t="s">
        <v>30</v>
      </c>
      <c r="E400" t="s">
        <v>737</v>
      </c>
      <c r="F400" t="s">
        <v>737</v>
      </c>
      <c r="G400" t="s">
        <v>977</v>
      </c>
      <c r="H400" t="s">
        <v>978</v>
      </c>
      <c r="I400" t="s">
        <v>977</v>
      </c>
    </row>
    <row r="401" spans="1:9" x14ac:dyDescent="0.25">
      <c r="A401" t="str">
        <f>"94175052FA"</f>
        <v>94175052FA</v>
      </c>
      <c r="B401" t="s">
        <v>9</v>
      </c>
      <c r="C401" t="s">
        <v>979</v>
      </c>
      <c r="D401" t="s">
        <v>30</v>
      </c>
      <c r="E401" t="s">
        <v>680</v>
      </c>
      <c r="F401" t="s">
        <v>680</v>
      </c>
      <c r="G401" t="s">
        <v>980</v>
      </c>
      <c r="H401" t="s">
        <v>981</v>
      </c>
      <c r="I401" t="s">
        <v>980</v>
      </c>
    </row>
    <row r="402" spans="1:9" x14ac:dyDescent="0.25">
      <c r="A402" t="str">
        <f>"94106981AA"</f>
        <v>94106981AA</v>
      </c>
      <c r="B402" t="s">
        <v>9</v>
      </c>
      <c r="C402" t="s">
        <v>982</v>
      </c>
      <c r="D402" t="s">
        <v>30</v>
      </c>
      <c r="E402" t="s">
        <v>983</v>
      </c>
      <c r="F402" t="s">
        <v>983</v>
      </c>
      <c r="G402" t="s">
        <v>748</v>
      </c>
      <c r="H402" t="s">
        <v>984</v>
      </c>
      <c r="I402" t="s">
        <v>748</v>
      </c>
    </row>
    <row r="403" spans="1:9" x14ac:dyDescent="0.25">
      <c r="A403" t="str">
        <f>"940725693A"</f>
        <v>940725693A</v>
      </c>
      <c r="B403" t="s">
        <v>9</v>
      </c>
      <c r="C403" t="s">
        <v>985</v>
      </c>
      <c r="D403" t="s">
        <v>11</v>
      </c>
      <c r="E403" t="s">
        <v>160</v>
      </c>
      <c r="F403" t="s">
        <v>160</v>
      </c>
      <c r="G403" t="s">
        <v>986</v>
      </c>
      <c r="H403" t="s">
        <v>987</v>
      </c>
      <c r="I403" t="s">
        <v>986</v>
      </c>
    </row>
    <row r="404" spans="1:9" x14ac:dyDescent="0.25">
      <c r="A404" t="str">
        <f>"94110704A5"</f>
        <v>94110704A5</v>
      </c>
      <c r="B404" t="s">
        <v>9</v>
      </c>
      <c r="C404" t="s">
        <v>988</v>
      </c>
      <c r="D404" t="s">
        <v>30</v>
      </c>
      <c r="E404" t="s">
        <v>989</v>
      </c>
      <c r="F404" t="s">
        <v>989</v>
      </c>
      <c r="G404" t="s">
        <v>990</v>
      </c>
      <c r="H404" t="s">
        <v>991</v>
      </c>
      <c r="I404" t="s">
        <v>990</v>
      </c>
    </row>
    <row r="405" spans="1:9" x14ac:dyDescent="0.25">
      <c r="A405" t="str">
        <f>"9494029095"</f>
        <v>9494029095</v>
      </c>
      <c r="B405" t="s">
        <v>9</v>
      </c>
      <c r="C405" t="s">
        <v>992</v>
      </c>
      <c r="D405" t="s">
        <v>11</v>
      </c>
      <c r="E405" t="s">
        <v>892</v>
      </c>
      <c r="F405" t="s">
        <v>892</v>
      </c>
      <c r="G405" t="s">
        <v>993</v>
      </c>
      <c r="H405" t="s">
        <v>994</v>
      </c>
      <c r="I405" t="s">
        <v>993</v>
      </c>
    </row>
    <row r="406" spans="1:9" x14ac:dyDescent="0.25">
      <c r="A406" t="str">
        <f>"93626249BC"</f>
        <v>93626249BC</v>
      </c>
      <c r="B406" t="s">
        <v>9</v>
      </c>
      <c r="C406" t="s">
        <v>995</v>
      </c>
      <c r="D406" t="s">
        <v>30</v>
      </c>
      <c r="E406" t="s">
        <v>626</v>
      </c>
      <c r="F406" t="s">
        <v>626</v>
      </c>
      <c r="G406" t="s">
        <v>996</v>
      </c>
      <c r="H406" t="s">
        <v>997</v>
      </c>
      <c r="I406" t="s">
        <v>996</v>
      </c>
    </row>
    <row r="407" spans="1:9" x14ac:dyDescent="0.25">
      <c r="A407" t="str">
        <f>"9404625E0D"</f>
        <v>9404625E0D</v>
      </c>
      <c r="B407" t="s">
        <v>9</v>
      </c>
      <c r="C407" t="s">
        <v>998</v>
      </c>
      <c r="D407" t="s">
        <v>30</v>
      </c>
      <c r="E407" t="s">
        <v>999</v>
      </c>
      <c r="F407" t="s">
        <v>999</v>
      </c>
      <c r="G407" t="s">
        <v>1000</v>
      </c>
      <c r="H407" t="s">
        <v>1001</v>
      </c>
      <c r="I407" t="s">
        <v>1000</v>
      </c>
    </row>
    <row r="408" spans="1:9" x14ac:dyDescent="0.25">
      <c r="A408" t="str">
        <f>"93391015F2"</f>
        <v>93391015F2</v>
      </c>
      <c r="B408" t="s">
        <v>9</v>
      </c>
      <c r="C408" t="s">
        <v>1002</v>
      </c>
      <c r="D408" t="s">
        <v>30</v>
      </c>
      <c r="E408" t="s">
        <v>123</v>
      </c>
      <c r="F408" t="s">
        <v>123</v>
      </c>
      <c r="G408" t="s">
        <v>1003</v>
      </c>
      <c r="H408" t="s">
        <v>1004</v>
      </c>
    </row>
    <row r="409" spans="1:9" x14ac:dyDescent="0.25">
      <c r="A409" t="str">
        <f>"9336917BA5"</f>
        <v>9336917BA5</v>
      </c>
      <c r="B409" t="s">
        <v>9</v>
      </c>
      <c r="C409" t="s">
        <v>1005</v>
      </c>
      <c r="D409" t="s">
        <v>30</v>
      </c>
      <c r="E409" t="s">
        <v>892</v>
      </c>
      <c r="F409" t="s">
        <v>892</v>
      </c>
      <c r="G409" t="s">
        <v>1006</v>
      </c>
      <c r="H409" t="s">
        <v>1004</v>
      </c>
    </row>
    <row r="410" spans="1:9" x14ac:dyDescent="0.25">
      <c r="A410" t="str">
        <f>"94016696B1"</f>
        <v>94016696B1</v>
      </c>
      <c r="B410" t="s">
        <v>9</v>
      </c>
      <c r="C410" t="s">
        <v>1007</v>
      </c>
      <c r="D410" t="s">
        <v>30</v>
      </c>
      <c r="E410" t="s">
        <v>680</v>
      </c>
      <c r="F410" t="s">
        <v>680</v>
      </c>
      <c r="G410" t="s">
        <v>1008</v>
      </c>
      <c r="H410" t="s">
        <v>1009</v>
      </c>
      <c r="I410" t="s">
        <v>1010</v>
      </c>
    </row>
    <row r="411" spans="1:9" x14ac:dyDescent="0.25">
      <c r="A411" t="str">
        <f>"9399107477"</f>
        <v>9399107477</v>
      </c>
      <c r="B411" t="s">
        <v>9</v>
      </c>
      <c r="C411" t="s">
        <v>1011</v>
      </c>
      <c r="D411" t="s">
        <v>30</v>
      </c>
      <c r="E411" t="s">
        <v>1012</v>
      </c>
      <c r="F411" t="s">
        <v>1012</v>
      </c>
      <c r="G411" t="s">
        <v>1013</v>
      </c>
      <c r="H411" t="s">
        <v>1014</v>
      </c>
      <c r="I411" t="s">
        <v>1013</v>
      </c>
    </row>
    <row r="412" spans="1:9" x14ac:dyDescent="0.25">
      <c r="A412" t="str">
        <f>"9399622D72"</f>
        <v>9399622D72</v>
      </c>
      <c r="B412" t="s">
        <v>9</v>
      </c>
      <c r="C412" t="s">
        <v>1015</v>
      </c>
      <c r="D412" t="s">
        <v>30</v>
      </c>
      <c r="E412" t="s">
        <v>1016</v>
      </c>
      <c r="F412" t="s">
        <v>1016</v>
      </c>
      <c r="G412" t="s">
        <v>1017</v>
      </c>
      <c r="H412" t="s">
        <v>1018</v>
      </c>
      <c r="I412" t="s">
        <v>1017</v>
      </c>
    </row>
    <row r="413" spans="1:9" x14ac:dyDescent="0.25">
      <c r="A413" t="str">
        <f>"9392367A6F"</f>
        <v>9392367A6F</v>
      </c>
      <c r="B413" t="s">
        <v>9</v>
      </c>
      <c r="C413" t="s">
        <v>1019</v>
      </c>
      <c r="D413" t="s">
        <v>11</v>
      </c>
      <c r="E413" t="s">
        <v>1020</v>
      </c>
      <c r="F413" t="s">
        <v>1020</v>
      </c>
      <c r="G413" t="s">
        <v>1021</v>
      </c>
      <c r="H413" t="s">
        <v>1022</v>
      </c>
      <c r="I413" t="s">
        <v>1021</v>
      </c>
    </row>
    <row r="414" spans="1:9" x14ac:dyDescent="0.25">
      <c r="A414" t="str">
        <f>"9392432016"</f>
        <v>9392432016</v>
      </c>
      <c r="B414" t="s">
        <v>9</v>
      </c>
      <c r="C414" t="s">
        <v>1023</v>
      </c>
      <c r="D414" t="s">
        <v>11</v>
      </c>
      <c r="E414" t="s">
        <v>1020</v>
      </c>
      <c r="F414" t="s">
        <v>1020</v>
      </c>
      <c r="G414" t="s">
        <v>1024</v>
      </c>
      <c r="H414" t="s">
        <v>1022</v>
      </c>
      <c r="I414" t="s">
        <v>1024</v>
      </c>
    </row>
    <row r="415" spans="1:9" x14ac:dyDescent="0.25">
      <c r="A415" t="str">
        <f>"9386978B4A"</f>
        <v>9386978B4A</v>
      </c>
      <c r="B415" t="s">
        <v>9</v>
      </c>
      <c r="C415" t="s">
        <v>1025</v>
      </c>
      <c r="D415" t="s">
        <v>30</v>
      </c>
      <c r="E415" t="s">
        <v>355</v>
      </c>
      <c r="F415" t="s">
        <v>355</v>
      </c>
      <c r="G415" t="s">
        <v>1026</v>
      </c>
      <c r="H415" t="s">
        <v>1018</v>
      </c>
      <c r="I415" t="s">
        <v>1026</v>
      </c>
    </row>
    <row r="416" spans="1:9" x14ac:dyDescent="0.25">
      <c r="A416" t="str">
        <f>"9398846D12"</f>
        <v>9398846D12</v>
      </c>
      <c r="B416" t="s">
        <v>9</v>
      </c>
      <c r="C416" t="s">
        <v>1027</v>
      </c>
      <c r="D416" t="s">
        <v>30</v>
      </c>
      <c r="E416" t="s">
        <v>1028</v>
      </c>
      <c r="F416" t="s">
        <v>1028</v>
      </c>
      <c r="G416" t="s">
        <v>1029</v>
      </c>
      <c r="H416" t="s">
        <v>1030</v>
      </c>
      <c r="I416" t="s">
        <v>1029</v>
      </c>
    </row>
    <row r="417" spans="1:9" x14ac:dyDescent="0.25">
      <c r="A417" t="str">
        <f>"9386756419"</f>
        <v>9386756419</v>
      </c>
      <c r="B417" t="s">
        <v>9</v>
      </c>
      <c r="C417" t="s">
        <v>1031</v>
      </c>
      <c r="D417" t="s">
        <v>11</v>
      </c>
      <c r="E417" t="s">
        <v>160</v>
      </c>
      <c r="F417" t="s">
        <v>160</v>
      </c>
      <c r="G417" t="s">
        <v>1032</v>
      </c>
      <c r="H417" t="s">
        <v>1033</v>
      </c>
      <c r="I417" t="s">
        <v>1032</v>
      </c>
    </row>
    <row r="418" spans="1:9" x14ac:dyDescent="0.25">
      <c r="A418" t="str">
        <f>"9328914F5B"</f>
        <v>9328914F5B</v>
      </c>
      <c r="B418" t="s">
        <v>9</v>
      </c>
      <c r="C418" t="s">
        <v>1034</v>
      </c>
      <c r="D418" t="s">
        <v>30</v>
      </c>
      <c r="E418" t="s">
        <v>1035</v>
      </c>
      <c r="F418" t="s">
        <v>1035</v>
      </c>
      <c r="G418" t="s">
        <v>1036</v>
      </c>
      <c r="H418" t="s">
        <v>1037</v>
      </c>
      <c r="I418" t="s">
        <v>1036</v>
      </c>
    </row>
    <row r="419" spans="1:9" x14ac:dyDescent="0.25">
      <c r="A419" t="str">
        <f>"931696069D"</f>
        <v>931696069D</v>
      </c>
      <c r="B419" t="s">
        <v>9</v>
      </c>
      <c r="C419" t="s">
        <v>1038</v>
      </c>
      <c r="D419" t="s">
        <v>30</v>
      </c>
      <c r="E419" t="s">
        <v>1039</v>
      </c>
      <c r="F419" t="s">
        <v>1039</v>
      </c>
      <c r="G419" t="s">
        <v>1040</v>
      </c>
      <c r="H419" t="s">
        <v>1041</v>
      </c>
      <c r="I419" t="s">
        <v>1040</v>
      </c>
    </row>
    <row r="420" spans="1:9" x14ac:dyDescent="0.25">
      <c r="A420" t="str">
        <f>"9390869640"</f>
        <v>9390869640</v>
      </c>
      <c r="B420" t="s">
        <v>9</v>
      </c>
      <c r="C420" t="s">
        <v>1042</v>
      </c>
      <c r="D420" t="s">
        <v>30</v>
      </c>
      <c r="E420" t="s">
        <v>1043</v>
      </c>
      <c r="F420" t="s">
        <v>1043</v>
      </c>
      <c r="G420" t="s">
        <v>1044</v>
      </c>
      <c r="H420" t="s">
        <v>1045</v>
      </c>
    </row>
    <row r="421" spans="1:9" x14ac:dyDescent="0.25">
      <c r="A421" t="str">
        <f>"93629663F8"</f>
        <v>93629663F8</v>
      </c>
      <c r="B421" t="s">
        <v>9</v>
      </c>
      <c r="C421" t="s">
        <v>1046</v>
      </c>
      <c r="D421" t="s">
        <v>30</v>
      </c>
      <c r="E421" t="s">
        <v>1047</v>
      </c>
      <c r="F421" t="s">
        <v>1047</v>
      </c>
      <c r="G421" t="s">
        <v>493</v>
      </c>
      <c r="H421" t="s">
        <v>1048</v>
      </c>
    </row>
    <row r="422" spans="1:9" x14ac:dyDescent="0.25">
      <c r="A422" t="str">
        <f>"9387294013"</f>
        <v>9387294013</v>
      </c>
      <c r="B422" t="s">
        <v>9</v>
      </c>
      <c r="C422" t="s">
        <v>1049</v>
      </c>
      <c r="D422" t="s">
        <v>30</v>
      </c>
      <c r="E422" t="s">
        <v>1050</v>
      </c>
      <c r="F422" t="s">
        <v>1050</v>
      </c>
      <c r="G422" t="s">
        <v>1051</v>
      </c>
      <c r="H422" t="s">
        <v>1052</v>
      </c>
      <c r="I422" t="s">
        <v>1051</v>
      </c>
    </row>
    <row r="423" spans="1:9" x14ac:dyDescent="0.25">
      <c r="A423" t="str">
        <f>"926923705B"</f>
        <v>926923705B</v>
      </c>
      <c r="B423" t="s">
        <v>9</v>
      </c>
      <c r="C423" t="s">
        <v>1053</v>
      </c>
      <c r="D423" t="s">
        <v>30</v>
      </c>
      <c r="E423" t="s">
        <v>1054</v>
      </c>
      <c r="F423" t="s">
        <v>1054</v>
      </c>
      <c r="G423" t="s">
        <v>1055</v>
      </c>
      <c r="H423" t="s">
        <v>1056</v>
      </c>
      <c r="I423" t="s">
        <v>1055</v>
      </c>
    </row>
    <row r="424" spans="1:9" x14ac:dyDescent="0.25">
      <c r="A424" t="str">
        <f>"9052177CC3"</f>
        <v>9052177CC3</v>
      </c>
      <c r="B424" t="s">
        <v>9</v>
      </c>
      <c r="C424" t="s">
        <v>1057</v>
      </c>
      <c r="D424" t="s">
        <v>24</v>
      </c>
      <c r="E424" t="s">
        <v>1058</v>
      </c>
      <c r="F424" t="s">
        <v>1059</v>
      </c>
      <c r="G424" t="s">
        <v>1060</v>
      </c>
      <c r="H424" t="s">
        <v>1061</v>
      </c>
      <c r="I424" t="s">
        <v>1062</v>
      </c>
    </row>
    <row r="425" spans="1:9" x14ac:dyDescent="0.25">
      <c r="A425" t="str">
        <f>"9358124838"</f>
        <v>9358124838</v>
      </c>
      <c r="B425" t="s">
        <v>9</v>
      </c>
      <c r="C425" t="s">
        <v>1063</v>
      </c>
      <c r="D425" t="s">
        <v>11</v>
      </c>
      <c r="E425" t="s">
        <v>142</v>
      </c>
      <c r="F425" t="s">
        <v>142</v>
      </c>
      <c r="G425" t="s">
        <v>1064</v>
      </c>
      <c r="H425" t="s">
        <v>1065</v>
      </c>
      <c r="I425" t="s">
        <v>1064</v>
      </c>
    </row>
    <row r="426" spans="1:9" x14ac:dyDescent="0.25">
      <c r="A426" t="str">
        <f>"9316706502"</f>
        <v>9316706502</v>
      </c>
      <c r="B426" t="s">
        <v>9</v>
      </c>
      <c r="C426" t="s">
        <v>1066</v>
      </c>
      <c r="D426" t="s">
        <v>30</v>
      </c>
      <c r="E426" t="s">
        <v>1067</v>
      </c>
      <c r="F426" t="s">
        <v>1067</v>
      </c>
      <c r="G426" t="s">
        <v>1068</v>
      </c>
      <c r="H426" t="s">
        <v>1069</v>
      </c>
      <c r="I426" t="s">
        <v>1070</v>
      </c>
    </row>
    <row r="427" spans="1:9" x14ac:dyDescent="0.25">
      <c r="A427" t="str">
        <f>"9279725F4F"</f>
        <v>9279725F4F</v>
      </c>
      <c r="B427" t="s">
        <v>9</v>
      </c>
      <c r="C427" t="s">
        <v>1071</v>
      </c>
      <c r="D427" t="s">
        <v>30</v>
      </c>
      <c r="E427" t="s">
        <v>755</v>
      </c>
      <c r="F427" t="s">
        <v>755</v>
      </c>
      <c r="G427" t="s">
        <v>1072</v>
      </c>
      <c r="H427" t="s">
        <v>1073</v>
      </c>
      <c r="I427" t="s">
        <v>1072</v>
      </c>
    </row>
    <row r="428" spans="1:9" x14ac:dyDescent="0.25">
      <c r="A428" t="str">
        <f>"9348380F35"</f>
        <v>9348380F35</v>
      </c>
      <c r="B428" t="s">
        <v>9</v>
      </c>
      <c r="C428" t="s">
        <v>1074</v>
      </c>
      <c r="D428" t="s">
        <v>30</v>
      </c>
      <c r="E428" t="s">
        <v>1075</v>
      </c>
      <c r="F428" t="s">
        <v>1075</v>
      </c>
      <c r="G428" t="s">
        <v>1076</v>
      </c>
      <c r="H428" t="s">
        <v>1077</v>
      </c>
      <c r="I428" t="s">
        <v>1076</v>
      </c>
    </row>
    <row r="429" spans="1:9" x14ac:dyDescent="0.25">
      <c r="A429" t="str">
        <f>"9117391511"</f>
        <v>9117391511</v>
      </c>
      <c r="B429" t="s">
        <v>9</v>
      </c>
      <c r="C429" t="s">
        <v>1078</v>
      </c>
      <c r="D429" t="s">
        <v>30</v>
      </c>
      <c r="E429" t="s">
        <v>1075</v>
      </c>
      <c r="F429" t="s">
        <v>1075</v>
      </c>
      <c r="G429" t="s">
        <v>1076</v>
      </c>
      <c r="H429" t="s">
        <v>1079</v>
      </c>
      <c r="I429" t="s">
        <v>1076</v>
      </c>
    </row>
    <row r="430" spans="1:9" x14ac:dyDescent="0.25">
      <c r="A430" t="str">
        <f>"93462701FF"</f>
        <v>93462701FF</v>
      </c>
      <c r="B430" t="s">
        <v>9</v>
      </c>
      <c r="C430" t="s">
        <v>1080</v>
      </c>
      <c r="D430" t="s">
        <v>30</v>
      </c>
      <c r="E430" t="s">
        <v>1081</v>
      </c>
      <c r="F430" t="s">
        <v>1081</v>
      </c>
      <c r="G430" t="s">
        <v>1082</v>
      </c>
      <c r="H430" t="s">
        <v>1083</v>
      </c>
      <c r="I430" t="s">
        <v>1082</v>
      </c>
    </row>
    <row r="431" spans="1:9" x14ac:dyDescent="0.25">
      <c r="A431" t="str">
        <f>"9331444730"</f>
        <v>9331444730</v>
      </c>
      <c r="B431" t="s">
        <v>9</v>
      </c>
      <c r="C431" t="s">
        <v>1084</v>
      </c>
      <c r="D431" t="s">
        <v>30</v>
      </c>
      <c r="E431" t="s">
        <v>1085</v>
      </c>
      <c r="F431" t="s">
        <v>1085</v>
      </c>
      <c r="G431" t="s">
        <v>1086</v>
      </c>
      <c r="H431" t="s">
        <v>1087</v>
      </c>
      <c r="I431" t="s">
        <v>1086</v>
      </c>
    </row>
    <row r="432" spans="1:9" x14ac:dyDescent="0.25">
      <c r="A432" t="str">
        <f>"93292271AB"</f>
        <v>93292271AB</v>
      </c>
      <c r="B432" t="s">
        <v>9</v>
      </c>
      <c r="C432" t="s">
        <v>1088</v>
      </c>
      <c r="D432" t="s">
        <v>30</v>
      </c>
      <c r="E432" t="s">
        <v>1089</v>
      </c>
      <c r="F432" t="s">
        <v>1089</v>
      </c>
      <c r="G432" t="s">
        <v>1090</v>
      </c>
      <c r="H432" t="s">
        <v>1087</v>
      </c>
      <c r="I432" t="s">
        <v>1091</v>
      </c>
    </row>
    <row r="433" spans="1:9" x14ac:dyDescent="0.25">
      <c r="A433" t="str">
        <f>"93290542E7"</f>
        <v>93290542E7</v>
      </c>
      <c r="B433" t="s">
        <v>9</v>
      </c>
      <c r="C433" t="s">
        <v>1092</v>
      </c>
      <c r="D433" t="s">
        <v>30</v>
      </c>
      <c r="E433" t="s">
        <v>1093</v>
      </c>
      <c r="F433" t="s">
        <v>1093</v>
      </c>
      <c r="G433" t="s">
        <v>1094</v>
      </c>
      <c r="H433" t="s">
        <v>1087</v>
      </c>
      <c r="I433" t="s">
        <v>1094</v>
      </c>
    </row>
    <row r="434" spans="1:9" x14ac:dyDescent="0.25">
      <c r="A434" t="str">
        <f>"93291756C0"</f>
        <v>93291756C0</v>
      </c>
      <c r="B434" t="s">
        <v>9</v>
      </c>
      <c r="C434" t="s">
        <v>1095</v>
      </c>
      <c r="D434" t="s">
        <v>30</v>
      </c>
      <c r="E434" t="s">
        <v>529</v>
      </c>
      <c r="F434" t="s">
        <v>529</v>
      </c>
      <c r="G434" t="s">
        <v>1086</v>
      </c>
      <c r="H434" t="s">
        <v>1087</v>
      </c>
      <c r="I434" t="s">
        <v>1086</v>
      </c>
    </row>
    <row r="435" spans="1:9" x14ac:dyDescent="0.25">
      <c r="A435" t="str">
        <f>"9329258B3D"</f>
        <v>9329258B3D</v>
      </c>
      <c r="B435" t="s">
        <v>9</v>
      </c>
      <c r="C435" t="s">
        <v>1096</v>
      </c>
      <c r="D435" t="s">
        <v>30</v>
      </c>
      <c r="E435" t="s">
        <v>1097</v>
      </c>
      <c r="F435" t="s">
        <v>1097</v>
      </c>
      <c r="G435" t="s">
        <v>1086</v>
      </c>
      <c r="H435" t="s">
        <v>1087</v>
      </c>
      <c r="I435" t="s">
        <v>1086</v>
      </c>
    </row>
    <row r="436" spans="1:9" x14ac:dyDescent="0.25">
      <c r="A436" t="str">
        <f>"932872750D"</f>
        <v>932872750D</v>
      </c>
      <c r="B436" t="s">
        <v>9</v>
      </c>
      <c r="C436" t="s">
        <v>1098</v>
      </c>
      <c r="D436" t="s">
        <v>30</v>
      </c>
      <c r="E436" t="s">
        <v>1099</v>
      </c>
      <c r="F436" t="s">
        <v>1099</v>
      </c>
      <c r="G436" t="s">
        <v>1086</v>
      </c>
      <c r="H436" t="s">
        <v>1087</v>
      </c>
      <c r="I436" t="s">
        <v>1086</v>
      </c>
    </row>
    <row r="437" spans="1:9" x14ac:dyDescent="0.25">
      <c r="A437" t="str">
        <f>"9310378EF7"</f>
        <v>9310378EF7</v>
      </c>
      <c r="B437" t="s">
        <v>9</v>
      </c>
      <c r="C437" t="s">
        <v>1100</v>
      </c>
      <c r="D437" t="s">
        <v>30</v>
      </c>
      <c r="E437" t="s">
        <v>1101</v>
      </c>
      <c r="F437" t="s">
        <v>1101</v>
      </c>
      <c r="G437" t="s">
        <v>1102</v>
      </c>
      <c r="H437" t="s">
        <v>1103</v>
      </c>
      <c r="I437" t="s">
        <v>1102</v>
      </c>
    </row>
    <row r="438" spans="1:9" x14ac:dyDescent="0.25">
      <c r="A438" t="str">
        <f>"92616023C0"</f>
        <v>92616023C0</v>
      </c>
      <c r="B438" t="s">
        <v>9</v>
      </c>
      <c r="C438" t="s">
        <v>1104</v>
      </c>
      <c r="D438" t="s">
        <v>30</v>
      </c>
      <c r="E438" t="s">
        <v>244</v>
      </c>
      <c r="F438" t="s">
        <v>244</v>
      </c>
      <c r="G438" t="s">
        <v>1105</v>
      </c>
      <c r="H438" t="s">
        <v>1106</v>
      </c>
    </row>
    <row r="439" spans="1:9" x14ac:dyDescent="0.25">
      <c r="A439" t="str">
        <f>"93295750D9"</f>
        <v>93295750D9</v>
      </c>
      <c r="B439" t="s">
        <v>9</v>
      </c>
      <c r="C439" t="s">
        <v>1107</v>
      </c>
      <c r="D439" t="s">
        <v>30</v>
      </c>
      <c r="E439" t="s">
        <v>1108</v>
      </c>
      <c r="F439" t="s">
        <v>1108</v>
      </c>
      <c r="G439" t="s">
        <v>1109</v>
      </c>
      <c r="H439" t="s">
        <v>1110</v>
      </c>
      <c r="I439" t="s">
        <v>1109</v>
      </c>
    </row>
    <row r="440" spans="1:9" x14ac:dyDescent="0.25">
      <c r="A440" t="str">
        <f>"9304739188"</f>
        <v>9304739188</v>
      </c>
      <c r="B440" t="s">
        <v>9</v>
      </c>
      <c r="C440" t="s">
        <v>1111</v>
      </c>
      <c r="D440" t="s">
        <v>30</v>
      </c>
      <c r="E440" t="s">
        <v>1112</v>
      </c>
      <c r="F440" t="s">
        <v>1112</v>
      </c>
      <c r="G440" t="s">
        <v>1113</v>
      </c>
      <c r="H440" t="s">
        <v>1114</v>
      </c>
      <c r="I440" t="s">
        <v>397</v>
      </c>
    </row>
    <row r="441" spans="1:9" x14ac:dyDescent="0.25">
      <c r="A441" t="str">
        <f>"9339612BA1"</f>
        <v>9339612BA1</v>
      </c>
      <c r="B441" t="s">
        <v>9</v>
      </c>
      <c r="C441" t="s">
        <v>1115</v>
      </c>
      <c r="D441" t="s">
        <v>30</v>
      </c>
      <c r="E441" t="s">
        <v>523</v>
      </c>
      <c r="F441" t="s">
        <v>523</v>
      </c>
      <c r="G441" t="s">
        <v>1116</v>
      </c>
      <c r="H441" t="s">
        <v>1117</v>
      </c>
      <c r="I441" t="s">
        <v>1116</v>
      </c>
    </row>
    <row r="442" spans="1:9" x14ac:dyDescent="0.25">
      <c r="A442" t="str">
        <f>"9356304A4E"</f>
        <v>9356304A4E</v>
      </c>
      <c r="B442" t="s">
        <v>9</v>
      </c>
      <c r="C442" t="s">
        <v>1118</v>
      </c>
      <c r="D442" t="s">
        <v>30</v>
      </c>
      <c r="E442" t="s">
        <v>131</v>
      </c>
      <c r="F442" t="s">
        <v>131</v>
      </c>
      <c r="G442" t="s">
        <v>1119</v>
      </c>
      <c r="H442" t="s">
        <v>1117</v>
      </c>
      <c r="I442" t="s">
        <v>1119</v>
      </c>
    </row>
    <row r="443" spans="1:9" x14ac:dyDescent="0.25">
      <c r="A443" t="str">
        <f>"93867742F4"</f>
        <v>93867742F4</v>
      </c>
      <c r="B443" t="s">
        <v>9</v>
      </c>
      <c r="C443" t="s">
        <v>1120</v>
      </c>
      <c r="D443" t="s">
        <v>11</v>
      </c>
      <c r="E443" t="s">
        <v>160</v>
      </c>
      <c r="F443" t="s">
        <v>160</v>
      </c>
      <c r="G443" t="s">
        <v>1121</v>
      </c>
      <c r="H443" t="s">
        <v>1122</v>
      </c>
      <c r="I443" t="s">
        <v>1123</v>
      </c>
    </row>
    <row r="444" spans="1:9" x14ac:dyDescent="0.25">
      <c r="A444" t="str">
        <f>"93438060A4"</f>
        <v>93438060A4</v>
      </c>
      <c r="B444" t="s">
        <v>9</v>
      </c>
      <c r="C444" t="s">
        <v>1124</v>
      </c>
      <c r="D444" t="s">
        <v>30</v>
      </c>
      <c r="E444" t="s">
        <v>1125</v>
      </c>
      <c r="F444" t="s">
        <v>1125</v>
      </c>
      <c r="G444" t="s">
        <v>451</v>
      </c>
      <c r="H444" t="s">
        <v>1126</v>
      </c>
      <c r="I444" t="s">
        <v>451</v>
      </c>
    </row>
    <row r="445" spans="1:9" x14ac:dyDescent="0.25">
      <c r="A445" t="str">
        <f>"93144249D6"</f>
        <v>93144249D6</v>
      </c>
      <c r="B445" t="s">
        <v>9</v>
      </c>
      <c r="C445" t="s">
        <v>1127</v>
      </c>
      <c r="D445" t="s">
        <v>30</v>
      </c>
      <c r="E445" t="s">
        <v>1128</v>
      </c>
      <c r="F445" t="s">
        <v>1128</v>
      </c>
      <c r="G445" t="s">
        <v>553</v>
      </c>
      <c r="H445" t="s">
        <v>1129</v>
      </c>
      <c r="I445" t="s">
        <v>553</v>
      </c>
    </row>
    <row r="446" spans="1:9" x14ac:dyDescent="0.25">
      <c r="A446" t="str">
        <f>"932361065E"</f>
        <v>932361065E</v>
      </c>
      <c r="B446" t="s">
        <v>9</v>
      </c>
      <c r="C446" t="s">
        <v>1130</v>
      </c>
      <c r="D446" t="s">
        <v>11</v>
      </c>
      <c r="E446" t="s">
        <v>160</v>
      </c>
      <c r="F446" t="s">
        <v>160</v>
      </c>
      <c r="G446" t="s">
        <v>1131</v>
      </c>
      <c r="H446" t="s">
        <v>1132</v>
      </c>
      <c r="I446" t="s">
        <v>1131</v>
      </c>
    </row>
    <row r="447" spans="1:9" x14ac:dyDescent="0.25">
      <c r="A447" t="str">
        <f>"9321969C2A"</f>
        <v>9321969C2A</v>
      </c>
      <c r="B447" t="s">
        <v>9</v>
      </c>
      <c r="C447" t="s">
        <v>1133</v>
      </c>
      <c r="D447" t="s">
        <v>30</v>
      </c>
      <c r="E447" t="s">
        <v>1134</v>
      </c>
      <c r="F447" t="s">
        <v>1134</v>
      </c>
      <c r="G447" t="s">
        <v>1135</v>
      </c>
      <c r="H447" t="s">
        <v>1132</v>
      </c>
      <c r="I447" t="s">
        <v>1135</v>
      </c>
    </row>
    <row r="448" spans="1:9" x14ac:dyDescent="0.25">
      <c r="A448" t="str">
        <f>"9322879B1F"</f>
        <v>9322879B1F</v>
      </c>
      <c r="B448" t="s">
        <v>9</v>
      </c>
      <c r="C448" t="s">
        <v>1136</v>
      </c>
      <c r="D448" t="s">
        <v>30</v>
      </c>
      <c r="E448" t="s">
        <v>1137</v>
      </c>
      <c r="F448" t="s">
        <v>1137</v>
      </c>
      <c r="G448" t="s">
        <v>855</v>
      </c>
      <c r="H448" t="s">
        <v>1138</v>
      </c>
      <c r="I448" t="s">
        <v>855</v>
      </c>
    </row>
    <row r="449" spans="1:9" x14ac:dyDescent="0.25">
      <c r="A449" t="str">
        <f>"9310784E02"</f>
        <v>9310784E02</v>
      </c>
      <c r="B449" t="s">
        <v>9</v>
      </c>
      <c r="C449" t="s">
        <v>1139</v>
      </c>
      <c r="D449" t="s">
        <v>30</v>
      </c>
      <c r="E449" t="s">
        <v>666</v>
      </c>
      <c r="F449" t="s">
        <v>666</v>
      </c>
      <c r="G449" t="s">
        <v>1140</v>
      </c>
      <c r="H449" t="s">
        <v>1141</v>
      </c>
      <c r="I449" t="s">
        <v>1140</v>
      </c>
    </row>
    <row r="450" spans="1:9" x14ac:dyDescent="0.25">
      <c r="A450" t="str">
        <f>"9261514B1F"</f>
        <v>9261514B1F</v>
      </c>
      <c r="B450" t="s">
        <v>9</v>
      </c>
      <c r="C450" t="s">
        <v>1142</v>
      </c>
      <c r="D450" t="s">
        <v>30</v>
      </c>
      <c r="E450" t="s">
        <v>197</v>
      </c>
      <c r="F450" t="s">
        <v>197</v>
      </c>
      <c r="G450" t="s">
        <v>1143</v>
      </c>
      <c r="H450" t="s">
        <v>1144</v>
      </c>
    </row>
    <row r="451" spans="1:9" x14ac:dyDescent="0.25">
      <c r="A451" t="str">
        <f>"930135267C"</f>
        <v>930135267C</v>
      </c>
      <c r="B451" t="s">
        <v>9</v>
      </c>
      <c r="C451" t="s">
        <v>1145</v>
      </c>
      <c r="D451" t="s">
        <v>30</v>
      </c>
      <c r="E451" t="s">
        <v>1146</v>
      </c>
      <c r="F451" t="s">
        <v>1146</v>
      </c>
      <c r="G451" t="s">
        <v>1147</v>
      </c>
      <c r="H451" t="s">
        <v>1148</v>
      </c>
      <c r="I451" t="s">
        <v>1147</v>
      </c>
    </row>
    <row r="452" spans="1:9" x14ac:dyDescent="0.25">
      <c r="A452" t="str">
        <f>"9345432E71"</f>
        <v>9345432E71</v>
      </c>
      <c r="B452" t="s">
        <v>9</v>
      </c>
      <c r="C452" t="s">
        <v>1149</v>
      </c>
      <c r="D452" t="s">
        <v>30</v>
      </c>
      <c r="E452" t="s">
        <v>1150</v>
      </c>
      <c r="F452" t="s">
        <v>1150</v>
      </c>
      <c r="G452" t="s">
        <v>1151</v>
      </c>
      <c r="H452" t="s">
        <v>1152</v>
      </c>
      <c r="I452" t="s">
        <v>397</v>
      </c>
    </row>
    <row r="453" spans="1:9" x14ac:dyDescent="0.25">
      <c r="A453" t="str">
        <f>"93197282D8"</f>
        <v>93197282D8</v>
      </c>
      <c r="B453" t="s">
        <v>9</v>
      </c>
      <c r="C453" t="s">
        <v>1153</v>
      </c>
      <c r="D453" t="s">
        <v>30</v>
      </c>
      <c r="E453" t="s">
        <v>821</v>
      </c>
      <c r="F453" t="s">
        <v>821</v>
      </c>
      <c r="G453" t="s">
        <v>1116</v>
      </c>
      <c r="H453" t="s">
        <v>1154</v>
      </c>
      <c r="I453" t="s">
        <v>1116</v>
      </c>
    </row>
    <row r="454" spans="1:9" x14ac:dyDescent="0.25">
      <c r="A454" t="str">
        <f>"93179328BB"</f>
        <v>93179328BB</v>
      </c>
      <c r="B454" t="s">
        <v>9</v>
      </c>
      <c r="C454" t="s">
        <v>1155</v>
      </c>
      <c r="D454" t="s">
        <v>11</v>
      </c>
      <c r="E454" t="s">
        <v>160</v>
      </c>
      <c r="F454" t="s">
        <v>160</v>
      </c>
      <c r="G454" t="s">
        <v>1156</v>
      </c>
      <c r="H454" t="s">
        <v>1157</v>
      </c>
      <c r="I454" t="s">
        <v>1156</v>
      </c>
    </row>
    <row r="455" spans="1:9" x14ac:dyDescent="0.25">
      <c r="A455" t="str">
        <f>"9205079F7B"</f>
        <v>9205079F7B</v>
      </c>
      <c r="B455" t="s">
        <v>9</v>
      </c>
      <c r="C455" t="s">
        <v>1158</v>
      </c>
      <c r="D455" t="s">
        <v>30</v>
      </c>
      <c r="E455" t="s">
        <v>1159</v>
      </c>
      <c r="F455" t="s">
        <v>1159</v>
      </c>
      <c r="G455" t="s">
        <v>1160</v>
      </c>
      <c r="H455" t="s">
        <v>1161</v>
      </c>
      <c r="I455" t="s">
        <v>1162</v>
      </c>
    </row>
    <row r="456" spans="1:9" x14ac:dyDescent="0.25">
      <c r="A456" t="str">
        <f>"920510876C"</f>
        <v>920510876C</v>
      </c>
      <c r="B456" t="s">
        <v>9</v>
      </c>
      <c r="C456" t="s">
        <v>1163</v>
      </c>
      <c r="D456" t="s">
        <v>30</v>
      </c>
      <c r="E456" t="s">
        <v>233</v>
      </c>
      <c r="F456" t="s">
        <v>233</v>
      </c>
      <c r="G456" t="s">
        <v>1164</v>
      </c>
      <c r="H456" t="s">
        <v>1161</v>
      </c>
      <c r="I456" t="s">
        <v>1162</v>
      </c>
    </row>
    <row r="457" spans="1:9" x14ac:dyDescent="0.25">
      <c r="A457" t="str">
        <f>"9316865837"</f>
        <v>9316865837</v>
      </c>
      <c r="B457" t="s">
        <v>9</v>
      </c>
      <c r="C457" t="s">
        <v>1165</v>
      </c>
      <c r="D457" t="s">
        <v>30</v>
      </c>
      <c r="E457" t="s">
        <v>1166</v>
      </c>
      <c r="F457" t="s">
        <v>1166</v>
      </c>
      <c r="G457" t="s">
        <v>1167</v>
      </c>
      <c r="H457" t="s">
        <v>1168</v>
      </c>
      <c r="I457" t="s">
        <v>1167</v>
      </c>
    </row>
    <row r="458" spans="1:9" x14ac:dyDescent="0.25">
      <c r="A458" t="str">
        <f>"9312772691"</f>
        <v>9312772691</v>
      </c>
      <c r="B458" t="s">
        <v>9</v>
      </c>
      <c r="C458" t="s">
        <v>1169</v>
      </c>
      <c r="D458" t="s">
        <v>30</v>
      </c>
      <c r="E458" t="s">
        <v>1075</v>
      </c>
      <c r="F458" t="s">
        <v>1075</v>
      </c>
      <c r="G458" t="s">
        <v>78</v>
      </c>
      <c r="H458" t="s">
        <v>1170</v>
      </c>
      <c r="I458" t="s">
        <v>78</v>
      </c>
    </row>
    <row r="459" spans="1:9" x14ac:dyDescent="0.25">
      <c r="A459" t="str">
        <f>"93069008D6"</f>
        <v>93069008D6</v>
      </c>
      <c r="B459" t="s">
        <v>9</v>
      </c>
      <c r="C459" t="s">
        <v>1171</v>
      </c>
      <c r="D459" t="s">
        <v>30</v>
      </c>
      <c r="E459" t="s">
        <v>1172</v>
      </c>
      <c r="F459" t="s">
        <v>1172</v>
      </c>
      <c r="G459" t="s">
        <v>1173</v>
      </c>
      <c r="H459" t="s">
        <v>1168</v>
      </c>
      <c r="I459" t="s">
        <v>1173</v>
      </c>
    </row>
    <row r="460" spans="1:9" x14ac:dyDescent="0.25">
      <c r="A460" t="str">
        <f>"9313923C65"</f>
        <v>9313923C65</v>
      </c>
      <c r="B460" t="s">
        <v>9</v>
      </c>
      <c r="C460" t="s">
        <v>1174</v>
      </c>
      <c r="D460" t="s">
        <v>30</v>
      </c>
      <c r="E460" t="s">
        <v>939</v>
      </c>
      <c r="F460" t="s">
        <v>939</v>
      </c>
      <c r="G460" t="s">
        <v>1175</v>
      </c>
      <c r="H460" t="s">
        <v>1176</v>
      </c>
      <c r="I460" t="s">
        <v>1175</v>
      </c>
    </row>
    <row r="461" spans="1:9" x14ac:dyDescent="0.25">
      <c r="A461" t="str">
        <f>"92894844B4"</f>
        <v>92894844B4</v>
      </c>
      <c r="B461" t="s">
        <v>9</v>
      </c>
      <c r="C461" t="s">
        <v>1177</v>
      </c>
      <c r="D461" t="s">
        <v>30</v>
      </c>
      <c r="E461" t="s">
        <v>1178</v>
      </c>
      <c r="F461" t="s">
        <v>1178</v>
      </c>
      <c r="G461" t="s">
        <v>1179</v>
      </c>
      <c r="H461" t="s">
        <v>1180</v>
      </c>
      <c r="I461" t="s">
        <v>1179</v>
      </c>
    </row>
    <row r="462" spans="1:9" x14ac:dyDescent="0.25">
      <c r="A462" t="str">
        <f>"9308783ABC"</f>
        <v>9308783ABC</v>
      </c>
      <c r="B462" t="s">
        <v>9</v>
      </c>
      <c r="C462" t="s">
        <v>1181</v>
      </c>
      <c r="D462" t="s">
        <v>30</v>
      </c>
      <c r="E462" t="s">
        <v>774</v>
      </c>
      <c r="F462" t="s">
        <v>774</v>
      </c>
      <c r="G462" t="s">
        <v>1182</v>
      </c>
      <c r="H462" t="s">
        <v>1183</v>
      </c>
      <c r="I462" t="s">
        <v>1184</v>
      </c>
    </row>
    <row r="463" spans="1:9" x14ac:dyDescent="0.25">
      <c r="A463" t="str">
        <f>"93044009C5"</f>
        <v>93044009C5</v>
      </c>
      <c r="B463" t="s">
        <v>9</v>
      </c>
      <c r="C463" t="s">
        <v>1185</v>
      </c>
      <c r="D463" t="s">
        <v>30</v>
      </c>
      <c r="E463" t="s">
        <v>1186</v>
      </c>
      <c r="F463" t="s">
        <v>1186</v>
      </c>
      <c r="G463" t="s">
        <v>1187</v>
      </c>
      <c r="H463" t="s">
        <v>1188</v>
      </c>
      <c r="I463" t="s">
        <v>1187</v>
      </c>
    </row>
    <row r="464" spans="1:9" x14ac:dyDescent="0.25">
      <c r="A464" t="str">
        <f>"9308847F8B"</f>
        <v>9308847F8B</v>
      </c>
      <c r="B464" t="s">
        <v>9</v>
      </c>
      <c r="C464" t="s">
        <v>1189</v>
      </c>
      <c r="D464" t="s">
        <v>30</v>
      </c>
      <c r="E464" t="s">
        <v>1190</v>
      </c>
      <c r="F464" t="s">
        <v>1190</v>
      </c>
      <c r="G464" t="s">
        <v>345</v>
      </c>
      <c r="H464" t="s">
        <v>1191</v>
      </c>
      <c r="I464" t="s">
        <v>345</v>
      </c>
    </row>
    <row r="465" spans="1:9" x14ac:dyDescent="0.25">
      <c r="A465" t="str">
        <f>"930127354B"</f>
        <v>930127354B</v>
      </c>
      <c r="B465" t="s">
        <v>9</v>
      </c>
      <c r="C465" t="s">
        <v>1192</v>
      </c>
      <c r="D465" t="s">
        <v>30</v>
      </c>
      <c r="E465" t="s">
        <v>1193</v>
      </c>
      <c r="F465" t="s">
        <v>1193</v>
      </c>
      <c r="G465" t="s">
        <v>1194</v>
      </c>
      <c r="H465" t="s">
        <v>1195</v>
      </c>
      <c r="I465" t="s">
        <v>1194</v>
      </c>
    </row>
    <row r="466" spans="1:9" x14ac:dyDescent="0.25">
      <c r="A466" t="str">
        <f>"9304018E87"</f>
        <v>9304018E87</v>
      </c>
      <c r="B466" t="s">
        <v>9</v>
      </c>
      <c r="C466" t="s">
        <v>1196</v>
      </c>
      <c r="D466" t="s">
        <v>30</v>
      </c>
      <c r="E466" t="s">
        <v>1197</v>
      </c>
      <c r="F466" t="s">
        <v>1197</v>
      </c>
      <c r="G466" t="s">
        <v>1198</v>
      </c>
      <c r="H466" t="s">
        <v>1199</v>
      </c>
      <c r="I466" t="s">
        <v>1198</v>
      </c>
    </row>
    <row r="467" spans="1:9" x14ac:dyDescent="0.25">
      <c r="A467" t="str">
        <f>"9302176E76"</f>
        <v>9302176E76</v>
      </c>
      <c r="B467" t="s">
        <v>9</v>
      </c>
      <c r="C467" t="s">
        <v>1200</v>
      </c>
      <c r="D467" t="s">
        <v>30</v>
      </c>
      <c r="E467" t="s">
        <v>1201</v>
      </c>
      <c r="F467" t="s">
        <v>1201</v>
      </c>
      <c r="G467" t="s">
        <v>718</v>
      </c>
      <c r="H467" t="s">
        <v>1202</v>
      </c>
      <c r="I467" t="s">
        <v>718</v>
      </c>
    </row>
    <row r="468" spans="1:9" x14ac:dyDescent="0.25">
      <c r="A468" t="str">
        <f>"9322345276"</f>
        <v>9322345276</v>
      </c>
      <c r="B468" t="s">
        <v>9</v>
      </c>
      <c r="C468" t="s">
        <v>1203</v>
      </c>
      <c r="D468" t="s">
        <v>30</v>
      </c>
      <c r="E468" t="s">
        <v>152</v>
      </c>
      <c r="F468" t="s">
        <v>152</v>
      </c>
      <c r="G468" t="s">
        <v>1204</v>
      </c>
      <c r="H468" t="s">
        <v>1205</v>
      </c>
      <c r="I468" t="s">
        <v>1204</v>
      </c>
    </row>
    <row r="469" spans="1:9" x14ac:dyDescent="0.25">
      <c r="A469" t="str">
        <f>"9260018896"</f>
        <v>9260018896</v>
      </c>
      <c r="B469" t="s">
        <v>9</v>
      </c>
      <c r="C469" t="s">
        <v>1206</v>
      </c>
      <c r="D469" t="s">
        <v>30</v>
      </c>
      <c r="E469" t="s">
        <v>1166</v>
      </c>
      <c r="F469" t="s">
        <v>1166</v>
      </c>
      <c r="G469" t="s">
        <v>1207</v>
      </c>
      <c r="H469" t="s">
        <v>1208</v>
      </c>
      <c r="I469" t="s">
        <v>1207</v>
      </c>
    </row>
    <row r="470" spans="1:9" x14ac:dyDescent="0.25">
      <c r="A470" t="str">
        <f>"9283484D56"</f>
        <v>9283484D56</v>
      </c>
      <c r="B470" t="s">
        <v>9</v>
      </c>
      <c r="C470" t="s">
        <v>1209</v>
      </c>
      <c r="D470" t="s">
        <v>30</v>
      </c>
      <c r="E470" t="s">
        <v>1210</v>
      </c>
      <c r="F470" t="s">
        <v>1210</v>
      </c>
      <c r="G470" t="s">
        <v>1211</v>
      </c>
      <c r="H470" t="s">
        <v>1212</v>
      </c>
      <c r="I470" t="s">
        <v>1211</v>
      </c>
    </row>
    <row r="471" spans="1:9" x14ac:dyDescent="0.25">
      <c r="A471" t="str">
        <f>"9295907920"</f>
        <v>9295907920</v>
      </c>
      <c r="B471" t="s">
        <v>9</v>
      </c>
      <c r="C471" t="s">
        <v>1213</v>
      </c>
      <c r="D471" t="s">
        <v>30</v>
      </c>
      <c r="E471" t="s">
        <v>1214</v>
      </c>
      <c r="F471" t="s">
        <v>1214</v>
      </c>
      <c r="G471" t="s">
        <v>1215</v>
      </c>
      <c r="H471" t="s">
        <v>1216</v>
      </c>
      <c r="I471" t="s">
        <v>1215</v>
      </c>
    </row>
    <row r="472" spans="1:9" x14ac:dyDescent="0.25">
      <c r="A472" t="str">
        <f>"9260894B7B"</f>
        <v>9260894B7B</v>
      </c>
      <c r="B472" t="s">
        <v>9</v>
      </c>
      <c r="C472" t="s">
        <v>1217</v>
      </c>
      <c r="D472" t="s">
        <v>30</v>
      </c>
      <c r="E472" t="s">
        <v>1218</v>
      </c>
      <c r="F472" t="s">
        <v>1218</v>
      </c>
      <c r="G472" t="s">
        <v>1219</v>
      </c>
      <c r="H472" t="s">
        <v>1220</v>
      </c>
      <c r="I472" t="s">
        <v>1219</v>
      </c>
    </row>
    <row r="473" spans="1:9" x14ac:dyDescent="0.25">
      <c r="A473" t="str">
        <f>"928372650D"</f>
        <v>928372650D</v>
      </c>
      <c r="B473" t="s">
        <v>9</v>
      </c>
      <c r="C473" t="s">
        <v>1221</v>
      </c>
      <c r="D473" t="s">
        <v>30</v>
      </c>
      <c r="E473" t="s">
        <v>1222</v>
      </c>
      <c r="F473" t="s">
        <v>1222</v>
      </c>
      <c r="G473" t="s">
        <v>345</v>
      </c>
      <c r="H473" t="s">
        <v>1223</v>
      </c>
      <c r="I473" t="s">
        <v>345</v>
      </c>
    </row>
    <row r="474" spans="1:9" x14ac:dyDescent="0.25">
      <c r="A474" t="str">
        <f>"924345545F"</f>
        <v>924345545F</v>
      </c>
      <c r="B474" t="s">
        <v>9</v>
      </c>
      <c r="C474" t="s">
        <v>1224</v>
      </c>
      <c r="D474" t="s">
        <v>30</v>
      </c>
      <c r="E474" t="s">
        <v>1225</v>
      </c>
      <c r="F474" t="s">
        <v>1225</v>
      </c>
      <c r="G474" t="s">
        <v>530</v>
      </c>
      <c r="H474" t="s">
        <v>1220</v>
      </c>
      <c r="I474" t="s">
        <v>530</v>
      </c>
    </row>
    <row r="475" spans="1:9" x14ac:dyDescent="0.25">
      <c r="A475" t="str">
        <f>"9283833D57"</f>
        <v>9283833D57</v>
      </c>
      <c r="B475" t="s">
        <v>9</v>
      </c>
      <c r="C475" t="s">
        <v>1226</v>
      </c>
      <c r="D475" t="s">
        <v>30</v>
      </c>
      <c r="E475" t="s">
        <v>1227</v>
      </c>
      <c r="F475" t="s">
        <v>1227</v>
      </c>
      <c r="G475" t="s">
        <v>1228</v>
      </c>
      <c r="H475" t="s">
        <v>1223</v>
      </c>
      <c r="I475" t="s">
        <v>1228</v>
      </c>
    </row>
    <row r="476" spans="1:9" x14ac:dyDescent="0.25">
      <c r="A476" t="str">
        <f>"926696094E"</f>
        <v>926696094E</v>
      </c>
      <c r="B476" t="s">
        <v>9</v>
      </c>
      <c r="C476" t="s">
        <v>1229</v>
      </c>
      <c r="D476" t="s">
        <v>30</v>
      </c>
      <c r="E476" t="s">
        <v>963</v>
      </c>
      <c r="F476" t="s">
        <v>963</v>
      </c>
      <c r="G476" t="s">
        <v>1230</v>
      </c>
      <c r="H476" t="s">
        <v>1231</v>
      </c>
    </row>
    <row r="477" spans="1:9" x14ac:dyDescent="0.25">
      <c r="A477" t="str">
        <f>"9267526C61"</f>
        <v>9267526C61</v>
      </c>
      <c r="B477" t="s">
        <v>9</v>
      </c>
      <c r="C477" t="s">
        <v>1232</v>
      </c>
      <c r="D477" t="s">
        <v>30</v>
      </c>
      <c r="E477" t="s">
        <v>1197</v>
      </c>
      <c r="F477" t="s">
        <v>1197</v>
      </c>
      <c r="G477" t="s">
        <v>1233</v>
      </c>
      <c r="H477" t="s">
        <v>1231</v>
      </c>
      <c r="I477" t="s">
        <v>1233</v>
      </c>
    </row>
    <row r="478" spans="1:9" x14ac:dyDescent="0.25">
      <c r="A478" t="str">
        <f>"93271775F3"</f>
        <v>93271775F3</v>
      </c>
      <c r="B478" t="s">
        <v>9</v>
      </c>
      <c r="C478" t="s">
        <v>1234</v>
      </c>
      <c r="D478" t="s">
        <v>30</v>
      </c>
      <c r="E478" t="s">
        <v>680</v>
      </c>
      <c r="F478" t="s">
        <v>680</v>
      </c>
      <c r="G478" t="s">
        <v>1094</v>
      </c>
      <c r="H478" t="s">
        <v>1235</v>
      </c>
      <c r="I478" t="s">
        <v>1198</v>
      </c>
    </row>
    <row r="479" spans="1:9" x14ac:dyDescent="0.25">
      <c r="A479" t="str">
        <f>"9244582666"</f>
        <v>9244582666</v>
      </c>
      <c r="B479" t="s">
        <v>9</v>
      </c>
      <c r="C479" t="s">
        <v>1236</v>
      </c>
      <c r="D479" t="s">
        <v>30</v>
      </c>
      <c r="E479" t="s">
        <v>1237</v>
      </c>
      <c r="F479" t="s">
        <v>1237</v>
      </c>
      <c r="G479" t="s">
        <v>771</v>
      </c>
      <c r="H479" t="s">
        <v>1238</v>
      </c>
      <c r="I479" t="s">
        <v>771</v>
      </c>
    </row>
    <row r="480" spans="1:9" x14ac:dyDescent="0.25">
      <c r="A480" t="str">
        <f>"9278222701"</f>
        <v>9278222701</v>
      </c>
      <c r="B480" t="s">
        <v>9</v>
      </c>
      <c r="C480" t="s">
        <v>1239</v>
      </c>
      <c r="D480" t="s">
        <v>30</v>
      </c>
      <c r="E480" t="s">
        <v>1240</v>
      </c>
      <c r="F480" t="s">
        <v>1240</v>
      </c>
      <c r="G480" t="s">
        <v>1241</v>
      </c>
      <c r="H480" t="s">
        <v>1242</v>
      </c>
      <c r="I480" t="s">
        <v>1241</v>
      </c>
    </row>
    <row r="481" spans="1:9" x14ac:dyDescent="0.25">
      <c r="A481" t="str">
        <f>"9272609F00"</f>
        <v>9272609F00</v>
      </c>
      <c r="B481" t="s">
        <v>9</v>
      </c>
      <c r="C481" t="s">
        <v>1243</v>
      </c>
      <c r="D481" t="s">
        <v>30</v>
      </c>
      <c r="E481" t="s">
        <v>12</v>
      </c>
      <c r="F481" t="s">
        <v>12</v>
      </c>
      <c r="G481" t="s">
        <v>1244</v>
      </c>
      <c r="H481" t="s">
        <v>1245</v>
      </c>
      <c r="I481" t="s">
        <v>1244</v>
      </c>
    </row>
    <row r="482" spans="1:9" x14ac:dyDescent="0.25">
      <c r="A482" t="str">
        <f>"9272585B33"</f>
        <v>9272585B33</v>
      </c>
      <c r="B482" t="s">
        <v>9</v>
      </c>
      <c r="C482" t="s">
        <v>1246</v>
      </c>
      <c r="D482" t="s">
        <v>30</v>
      </c>
      <c r="E482" t="s">
        <v>12</v>
      </c>
      <c r="F482" t="s">
        <v>12</v>
      </c>
      <c r="G482" t="s">
        <v>1247</v>
      </c>
      <c r="H482" t="s">
        <v>1245</v>
      </c>
      <c r="I482" t="s">
        <v>1247</v>
      </c>
    </row>
    <row r="483" spans="1:9" x14ac:dyDescent="0.25">
      <c r="A483" t="str">
        <f>"9175054614"</f>
        <v>9175054614</v>
      </c>
      <c r="B483" t="s">
        <v>9</v>
      </c>
      <c r="C483" t="s">
        <v>1248</v>
      </c>
      <c r="D483" t="s">
        <v>30</v>
      </c>
      <c r="E483" t="s">
        <v>814</v>
      </c>
      <c r="F483" t="s">
        <v>814</v>
      </c>
      <c r="G483" t="s">
        <v>1249</v>
      </c>
      <c r="H483" t="s">
        <v>1250</v>
      </c>
      <c r="I483" t="s">
        <v>1249</v>
      </c>
    </row>
    <row r="484" spans="1:9" x14ac:dyDescent="0.25">
      <c r="A484" t="str">
        <f>"9228440D97"</f>
        <v>9228440D97</v>
      </c>
      <c r="B484" t="s">
        <v>9</v>
      </c>
      <c r="C484" t="s">
        <v>1251</v>
      </c>
      <c r="D484" t="s">
        <v>30</v>
      </c>
      <c r="E484" t="s">
        <v>1252</v>
      </c>
      <c r="F484" t="s">
        <v>1252</v>
      </c>
      <c r="G484" t="s">
        <v>1253</v>
      </c>
      <c r="H484" t="s">
        <v>1254</v>
      </c>
      <c r="I484" t="s">
        <v>1253</v>
      </c>
    </row>
    <row r="485" spans="1:9" x14ac:dyDescent="0.25">
      <c r="A485" t="str">
        <f>"9214153F95"</f>
        <v>9214153F95</v>
      </c>
      <c r="B485" t="s">
        <v>9</v>
      </c>
      <c r="C485" t="s">
        <v>1255</v>
      </c>
      <c r="D485" t="s">
        <v>30</v>
      </c>
      <c r="E485" t="s">
        <v>1225</v>
      </c>
      <c r="F485" t="s">
        <v>1225</v>
      </c>
      <c r="G485" t="s">
        <v>748</v>
      </c>
      <c r="H485" t="s">
        <v>1256</v>
      </c>
      <c r="I485" t="s">
        <v>748</v>
      </c>
    </row>
    <row r="486" spans="1:9" x14ac:dyDescent="0.25">
      <c r="A486" t="str">
        <f>"92646517DC"</f>
        <v>92646517DC</v>
      </c>
      <c r="B486" t="s">
        <v>9</v>
      </c>
      <c r="C486" t="s">
        <v>1257</v>
      </c>
      <c r="D486" t="s">
        <v>30</v>
      </c>
      <c r="E486" t="s">
        <v>1258</v>
      </c>
      <c r="F486" t="s">
        <v>1258</v>
      </c>
      <c r="G486" t="s">
        <v>1259</v>
      </c>
      <c r="H486" t="s">
        <v>1260</v>
      </c>
      <c r="I486" t="s">
        <v>1259</v>
      </c>
    </row>
    <row r="487" spans="1:9" x14ac:dyDescent="0.25">
      <c r="A487" t="str">
        <f>"921228493E"</f>
        <v>921228493E</v>
      </c>
      <c r="B487" t="s">
        <v>9</v>
      </c>
      <c r="C487" t="s">
        <v>1261</v>
      </c>
      <c r="D487" t="s">
        <v>11</v>
      </c>
      <c r="E487" t="s">
        <v>72</v>
      </c>
      <c r="F487" t="s">
        <v>72</v>
      </c>
      <c r="G487" t="s">
        <v>1262</v>
      </c>
      <c r="H487" t="s">
        <v>1263</v>
      </c>
      <c r="I487" t="s">
        <v>1262</v>
      </c>
    </row>
    <row r="488" spans="1:9" x14ac:dyDescent="0.25">
      <c r="A488" t="str">
        <f>"9261827D6A"</f>
        <v>9261827D6A</v>
      </c>
      <c r="B488" t="s">
        <v>9</v>
      </c>
      <c r="C488" t="s">
        <v>1264</v>
      </c>
      <c r="D488" t="s">
        <v>30</v>
      </c>
      <c r="E488" t="s">
        <v>1265</v>
      </c>
      <c r="F488" t="s">
        <v>1265</v>
      </c>
      <c r="G488" t="s">
        <v>1266</v>
      </c>
      <c r="H488" t="s">
        <v>1267</v>
      </c>
      <c r="I488" t="s">
        <v>1266</v>
      </c>
    </row>
    <row r="489" spans="1:9" x14ac:dyDescent="0.25">
      <c r="A489" t="str">
        <f>"92049851ED"</f>
        <v>92049851ED</v>
      </c>
      <c r="B489" t="s">
        <v>9</v>
      </c>
      <c r="C489" t="s">
        <v>1268</v>
      </c>
      <c r="D489" t="s">
        <v>30</v>
      </c>
      <c r="E489" t="s">
        <v>101</v>
      </c>
      <c r="F489" t="s">
        <v>101</v>
      </c>
      <c r="G489" t="s">
        <v>1269</v>
      </c>
      <c r="H489" t="s">
        <v>1270</v>
      </c>
      <c r="I489" t="s">
        <v>1271</v>
      </c>
    </row>
    <row r="490" spans="1:9" x14ac:dyDescent="0.25">
      <c r="A490" t="str">
        <f>"9262184408"</f>
        <v>9262184408</v>
      </c>
      <c r="B490" t="s">
        <v>9</v>
      </c>
      <c r="C490" t="s">
        <v>1272</v>
      </c>
      <c r="D490" t="s">
        <v>30</v>
      </c>
      <c r="E490" t="s">
        <v>1273</v>
      </c>
      <c r="F490" t="s">
        <v>1273</v>
      </c>
      <c r="G490" t="s">
        <v>1274</v>
      </c>
      <c r="H490" t="s">
        <v>1267</v>
      </c>
      <c r="I490" t="s">
        <v>1274</v>
      </c>
    </row>
    <row r="491" spans="1:9" x14ac:dyDescent="0.25">
      <c r="A491" t="str">
        <f>"9155238566"</f>
        <v>9155238566</v>
      </c>
      <c r="B491" t="s">
        <v>9</v>
      </c>
      <c r="C491" t="s">
        <v>1275</v>
      </c>
      <c r="D491" t="s">
        <v>11</v>
      </c>
      <c r="E491" t="s">
        <v>55</v>
      </c>
      <c r="F491" t="s">
        <v>55</v>
      </c>
      <c r="G491" t="s">
        <v>1276</v>
      </c>
      <c r="H491" t="s">
        <v>1277</v>
      </c>
      <c r="I491" t="s">
        <v>1278</v>
      </c>
    </row>
    <row r="492" spans="1:9" x14ac:dyDescent="0.25">
      <c r="A492" t="str">
        <f>"9305290839"</f>
        <v>9305290839</v>
      </c>
      <c r="B492" t="s">
        <v>9</v>
      </c>
      <c r="C492" t="s">
        <v>1279</v>
      </c>
      <c r="D492" t="s">
        <v>30</v>
      </c>
      <c r="E492" t="s">
        <v>1227</v>
      </c>
      <c r="F492" t="s">
        <v>1227</v>
      </c>
      <c r="G492" t="s">
        <v>1280</v>
      </c>
      <c r="H492" t="s">
        <v>1267</v>
      </c>
      <c r="I492" t="s">
        <v>1280</v>
      </c>
    </row>
    <row r="493" spans="1:9" x14ac:dyDescent="0.25">
      <c r="A493" t="str">
        <f>"9255230967"</f>
        <v>9255230967</v>
      </c>
      <c r="B493" t="s">
        <v>9</v>
      </c>
      <c r="C493" t="s">
        <v>1281</v>
      </c>
      <c r="D493" t="s">
        <v>30</v>
      </c>
      <c r="E493" t="s">
        <v>1282</v>
      </c>
      <c r="F493" t="s">
        <v>1282</v>
      </c>
      <c r="G493" t="s">
        <v>1283</v>
      </c>
      <c r="H493" t="s">
        <v>1284</v>
      </c>
      <c r="I493" t="s">
        <v>1283</v>
      </c>
    </row>
    <row r="494" spans="1:9" x14ac:dyDescent="0.25">
      <c r="A494" t="str">
        <f>"9252461C59"</f>
        <v>9252461C59</v>
      </c>
      <c r="B494" t="s">
        <v>9</v>
      </c>
      <c r="C494" t="s">
        <v>1285</v>
      </c>
      <c r="D494" t="s">
        <v>30</v>
      </c>
      <c r="E494" t="s">
        <v>1286</v>
      </c>
      <c r="F494" t="s">
        <v>1286</v>
      </c>
      <c r="G494" t="s">
        <v>1287</v>
      </c>
      <c r="H494" t="s">
        <v>1288</v>
      </c>
    </row>
    <row r="495" spans="1:9" x14ac:dyDescent="0.25">
      <c r="A495" t="str">
        <f>"9014787591"</f>
        <v>9014787591</v>
      </c>
      <c r="B495" t="s">
        <v>9</v>
      </c>
      <c r="C495" t="s">
        <v>1289</v>
      </c>
      <c r="D495" t="s">
        <v>24</v>
      </c>
      <c r="E495" t="s">
        <v>1290</v>
      </c>
      <c r="F495" t="s">
        <v>1291</v>
      </c>
      <c r="G495" t="s">
        <v>1292</v>
      </c>
      <c r="H495" t="s">
        <v>1293</v>
      </c>
    </row>
    <row r="496" spans="1:9" x14ac:dyDescent="0.25">
      <c r="A496" t="str">
        <f>"9255623DB6"</f>
        <v>9255623DB6</v>
      </c>
      <c r="B496" t="s">
        <v>9</v>
      </c>
      <c r="C496" t="s">
        <v>1294</v>
      </c>
      <c r="D496" t="s">
        <v>30</v>
      </c>
      <c r="E496" t="s">
        <v>686</v>
      </c>
      <c r="F496" t="s">
        <v>686</v>
      </c>
      <c r="G496" t="s">
        <v>1295</v>
      </c>
      <c r="H496" t="s">
        <v>1296</v>
      </c>
      <c r="I496" t="s">
        <v>1295</v>
      </c>
    </row>
    <row r="497" spans="1:9" x14ac:dyDescent="0.25">
      <c r="A497" t="str">
        <f>"9255882375"</f>
        <v>9255882375</v>
      </c>
      <c r="B497" t="s">
        <v>9</v>
      </c>
      <c r="C497" t="s">
        <v>1297</v>
      </c>
      <c r="D497" t="s">
        <v>30</v>
      </c>
      <c r="E497" t="s">
        <v>152</v>
      </c>
      <c r="F497" t="s">
        <v>152</v>
      </c>
      <c r="G497" t="s">
        <v>1298</v>
      </c>
      <c r="H497" t="s">
        <v>1299</v>
      </c>
      <c r="I497" t="s">
        <v>1298</v>
      </c>
    </row>
    <row r="498" spans="1:9" x14ac:dyDescent="0.25">
      <c r="A498" t="str">
        <f>"9235514B3E"</f>
        <v>9235514B3E</v>
      </c>
      <c r="B498" t="s">
        <v>9</v>
      </c>
      <c r="C498" t="s">
        <v>1300</v>
      </c>
      <c r="D498" t="s">
        <v>30</v>
      </c>
      <c r="E498" t="s">
        <v>1301</v>
      </c>
      <c r="F498" t="s">
        <v>1301</v>
      </c>
      <c r="G498" t="s">
        <v>1086</v>
      </c>
      <c r="H498" t="s">
        <v>1302</v>
      </c>
    </row>
    <row r="499" spans="1:9" x14ac:dyDescent="0.25">
      <c r="A499" t="str">
        <f>"9254173126"</f>
        <v>9254173126</v>
      </c>
      <c r="B499" t="s">
        <v>9</v>
      </c>
      <c r="C499" t="s">
        <v>1303</v>
      </c>
      <c r="D499" t="s">
        <v>30</v>
      </c>
      <c r="E499" t="s">
        <v>731</v>
      </c>
      <c r="F499" t="s">
        <v>731</v>
      </c>
      <c r="G499" t="s">
        <v>1304</v>
      </c>
      <c r="H499" t="s">
        <v>1305</v>
      </c>
      <c r="I499" t="s">
        <v>1304</v>
      </c>
    </row>
    <row r="500" spans="1:9" x14ac:dyDescent="0.25">
      <c r="A500" t="str">
        <f>"9181904ADF"</f>
        <v>9181904ADF</v>
      </c>
      <c r="B500" t="s">
        <v>9</v>
      </c>
      <c r="C500" t="s">
        <v>1306</v>
      </c>
      <c r="D500" t="s">
        <v>30</v>
      </c>
      <c r="E500" t="s">
        <v>1307</v>
      </c>
      <c r="F500" t="s">
        <v>1307</v>
      </c>
      <c r="G500" t="s">
        <v>1308</v>
      </c>
      <c r="H500" t="s">
        <v>1309</v>
      </c>
      <c r="I500" t="s">
        <v>1308</v>
      </c>
    </row>
    <row r="501" spans="1:9" x14ac:dyDescent="0.25">
      <c r="A501" t="str">
        <f>"9235570975"</f>
        <v>9235570975</v>
      </c>
      <c r="B501" t="s">
        <v>9</v>
      </c>
      <c r="C501" t="s">
        <v>1310</v>
      </c>
      <c r="D501" t="s">
        <v>30</v>
      </c>
      <c r="E501" t="s">
        <v>1311</v>
      </c>
      <c r="F501" t="s">
        <v>1311</v>
      </c>
      <c r="G501" t="s">
        <v>1312</v>
      </c>
      <c r="H501" t="s">
        <v>1313</v>
      </c>
      <c r="I501" t="s">
        <v>1312</v>
      </c>
    </row>
    <row r="502" spans="1:9" x14ac:dyDescent="0.25">
      <c r="A502" t="str">
        <f>"92541638E3"</f>
        <v>92541638E3</v>
      </c>
      <c r="B502" t="s">
        <v>9</v>
      </c>
      <c r="C502" t="s">
        <v>1314</v>
      </c>
      <c r="D502" t="s">
        <v>30</v>
      </c>
      <c r="E502" t="s">
        <v>666</v>
      </c>
      <c r="F502" t="s">
        <v>666</v>
      </c>
      <c r="G502" t="s">
        <v>1315</v>
      </c>
      <c r="H502" t="s">
        <v>1316</v>
      </c>
      <c r="I502" t="s">
        <v>1315</v>
      </c>
    </row>
    <row r="503" spans="1:9" x14ac:dyDescent="0.25">
      <c r="A503" t="str">
        <f>"9255603D35"</f>
        <v>9255603D35</v>
      </c>
      <c r="B503" t="s">
        <v>9</v>
      </c>
      <c r="C503" t="s">
        <v>1317</v>
      </c>
      <c r="D503" t="s">
        <v>30</v>
      </c>
      <c r="E503" t="s">
        <v>152</v>
      </c>
      <c r="F503" t="s">
        <v>152</v>
      </c>
      <c r="G503" t="s">
        <v>1318</v>
      </c>
      <c r="H503" t="s">
        <v>1316</v>
      </c>
      <c r="I503" t="s">
        <v>1318</v>
      </c>
    </row>
    <row r="504" spans="1:9" x14ac:dyDescent="0.25">
      <c r="A504" t="str">
        <f>"9248358275"</f>
        <v>9248358275</v>
      </c>
      <c r="B504" t="s">
        <v>9</v>
      </c>
      <c r="C504" t="s">
        <v>1319</v>
      </c>
      <c r="D504" t="s">
        <v>30</v>
      </c>
      <c r="E504" t="s">
        <v>523</v>
      </c>
      <c r="F504" t="s">
        <v>523</v>
      </c>
      <c r="G504" t="s">
        <v>1320</v>
      </c>
      <c r="H504" t="s">
        <v>1321</v>
      </c>
      <c r="I504" t="s">
        <v>1320</v>
      </c>
    </row>
    <row r="505" spans="1:9" x14ac:dyDescent="0.25">
      <c r="A505" t="str">
        <f>"92442379B1"</f>
        <v>92442379B1</v>
      </c>
      <c r="B505" t="s">
        <v>9</v>
      </c>
      <c r="C505" t="s">
        <v>1322</v>
      </c>
      <c r="D505" t="s">
        <v>30</v>
      </c>
      <c r="E505" t="s">
        <v>1323</v>
      </c>
      <c r="F505" t="s">
        <v>1323</v>
      </c>
      <c r="G505" t="s">
        <v>667</v>
      </c>
      <c r="H505" t="s">
        <v>1324</v>
      </c>
      <c r="I505" t="s">
        <v>667</v>
      </c>
    </row>
    <row r="506" spans="1:9" x14ac:dyDescent="0.25">
      <c r="A506" t="str">
        <f>"9243477686"</f>
        <v>9243477686</v>
      </c>
      <c r="B506" t="s">
        <v>9</v>
      </c>
      <c r="C506" t="s">
        <v>1325</v>
      </c>
      <c r="D506" t="s">
        <v>30</v>
      </c>
      <c r="E506" t="s">
        <v>939</v>
      </c>
      <c r="F506" t="s">
        <v>939</v>
      </c>
      <c r="G506" t="s">
        <v>1326</v>
      </c>
      <c r="H506" t="s">
        <v>1327</v>
      </c>
      <c r="I506" t="s">
        <v>1326</v>
      </c>
    </row>
    <row r="507" spans="1:9" x14ac:dyDescent="0.25">
      <c r="A507" t="str">
        <f>"9216689C5C"</f>
        <v>9216689C5C</v>
      </c>
      <c r="B507" t="s">
        <v>9</v>
      </c>
      <c r="C507" t="s">
        <v>1328</v>
      </c>
      <c r="D507" t="s">
        <v>30</v>
      </c>
      <c r="E507" t="s">
        <v>1329</v>
      </c>
      <c r="F507" t="s">
        <v>1329</v>
      </c>
      <c r="G507" t="s">
        <v>1330</v>
      </c>
      <c r="H507" t="s">
        <v>1324</v>
      </c>
      <c r="I507" t="s">
        <v>1330</v>
      </c>
    </row>
    <row r="508" spans="1:9" x14ac:dyDescent="0.25">
      <c r="A508" t="str">
        <f>"92476309AF"</f>
        <v>92476309AF</v>
      </c>
      <c r="B508" t="s">
        <v>9</v>
      </c>
      <c r="C508" t="s">
        <v>1331</v>
      </c>
      <c r="D508" t="s">
        <v>11</v>
      </c>
      <c r="E508" t="s">
        <v>12</v>
      </c>
      <c r="F508" t="s">
        <v>12</v>
      </c>
      <c r="G508" t="s">
        <v>1332</v>
      </c>
      <c r="H508" t="s">
        <v>1324</v>
      </c>
      <c r="I508" t="s">
        <v>1332</v>
      </c>
    </row>
    <row r="509" spans="1:9" x14ac:dyDescent="0.25">
      <c r="A509" t="str">
        <f>"9184288A36"</f>
        <v>9184288A36</v>
      </c>
      <c r="B509" t="s">
        <v>9</v>
      </c>
      <c r="C509" t="s">
        <v>1333</v>
      </c>
      <c r="D509" t="s">
        <v>30</v>
      </c>
      <c r="E509" t="s">
        <v>191</v>
      </c>
      <c r="F509" t="s">
        <v>191</v>
      </c>
      <c r="G509" t="s">
        <v>1334</v>
      </c>
      <c r="H509" t="s">
        <v>1335</v>
      </c>
      <c r="I509" t="s">
        <v>1334</v>
      </c>
    </row>
    <row r="510" spans="1:9" x14ac:dyDescent="0.25">
      <c r="A510" t="str">
        <f>"9247695F51"</f>
        <v>9247695F51</v>
      </c>
      <c r="B510" t="s">
        <v>9</v>
      </c>
      <c r="C510" t="s">
        <v>1336</v>
      </c>
      <c r="D510" t="s">
        <v>11</v>
      </c>
      <c r="E510" t="s">
        <v>12</v>
      </c>
      <c r="F510" t="s">
        <v>12</v>
      </c>
      <c r="G510" t="s">
        <v>1337</v>
      </c>
      <c r="H510" t="s">
        <v>1324</v>
      </c>
      <c r="I510" t="s">
        <v>1337</v>
      </c>
    </row>
    <row r="511" spans="1:9" x14ac:dyDescent="0.25">
      <c r="A511" t="str">
        <f>"92476645BF"</f>
        <v>92476645BF</v>
      </c>
      <c r="B511" t="s">
        <v>9</v>
      </c>
      <c r="C511" t="s">
        <v>1338</v>
      </c>
      <c r="D511" t="s">
        <v>11</v>
      </c>
      <c r="E511" t="s">
        <v>12</v>
      </c>
      <c r="F511" t="s">
        <v>12</v>
      </c>
      <c r="G511" t="s">
        <v>1339</v>
      </c>
      <c r="H511" t="s">
        <v>1324</v>
      </c>
      <c r="I511" t="s">
        <v>1339</v>
      </c>
    </row>
    <row r="512" spans="1:9" x14ac:dyDescent="0.25">
      <c r="A512" t="str">
        <f>"9244685B64"</f>
        <v>9244685B64</v>
      </c>
      <c r="B512" t="s">
        <v>9</v>
      </c>
      <c r="C512" t="s">
        <v>1340</v>
      </c>
      <c r="D512" t="s">
        <v>30</v>
      </c>
      <c r="E512" t="s">
        <v>934</v>
      </c>
      <c r="F512" t="s">
        <v>934</v>
      </c>
      <c r="G512" t="s">
        <v>1162</v>
      </c>
      <c r="H512" t="s">
        <v>1324</v>
      </c>
      <c r="I512" t="s">
        <v>1162</v>
      </c>
    </row>
    <row r="513" spans="1:9" x14ac:dyDescent="0.25">
      <c r="A513" t="str">
        <f>"92416502D7"</f>
        <v>92416502D7</v>
      </c>
      <c r="B513" t="s">
        <v>9</v>
      </c>
      <c r="C513" t="s">
        <v>1341</v>
      </c>
      <c r="D513" t="s">
        <v>30</v>
      </c>
      <c r="E513" t="s">
        <v>1342</v>
      </c>
      <c r="F513" t="s">
        <v>1342</v>
      </c>
      <c r="G513" t="s">
        <v>453</v>
      </c>
      <c r="H513" t="s">
        <v>1343</v>
      </c>
      <c r="I513" t="s">
        <v>453</v>
      </c>
    </row>
    <row r="514" spans="1:9" x14ac:dyDescent="0.25">
      <c r="A514" t="str">
        <f>"9242081682"</f>
        <v>9242081682</v>
      </c>
      <c r="B514" t="s">
        <v>9</v>
      </c>
      <c r="C514" t="s">
        <v>1344</v>
      </c>
      <c r="D514" t="s">
        <v>30</v>
      </c>
      <c r="E514" t="s">
        <v>666</v>
      </c>
      <c r="F514" t="s">
        <v>666</v>
      </c>
      <c r="G514" t="s">
        <v>1315</v>
      </c>
      <c r="H514" t="s">
        <v>1345</v>
      </c>
      <c r="I514" t="s">
        <v>1315</v>
      </c>
    </row>
    <row r="515" spans="1:9" x14ac:dyDescent="0.25">
      <c r="A515" t="str">
        <f>"92394993C7"</f>
        <v>92394993C7</v>
      </c>
      <c r="B515" t="s">
        <v>9</v>
      </c>
      <c r="C515" t="s">
        <v>1346</v>
      </c>
      <c r="D515" t="s">
        <v>30</v>
      </c>
      <c r="E515" t="s">
        <v>442</v>
      </c>
      <c r="F515" t="s">
        <v>442</v>
      </c>
      <c r="G515" t="s">
        <v>577</v>
      </c>
      <c r="H515" t="s">
        <v>1347</v>
      </c>
      <c r="I515" t="s">
        <v>577</v>
      </c>
    </row>
    <row r="516" spans="1:9" x14ac:dyDescent="0.25">
      <c r="A516" t="str">
        <f>"9230493BC8"</f>
        <v>9230493BC8</v>
      </c>
      <c r="B516" t="s">
        <v>9</v>
      </c>
      <c r="C516" t="s">
        <v>1348</v>
      </c>
      <c r="D516" t="s">
        <v>30</v>
      </c>
      <c r="E516" t="s">
        <v>1349</v>
      </c>
      <c r="F516" t="s">
        <v>1349</v>
      </c>
      <c r="G516" t="s">
        <v>1350</v>
      </c>
      <c r="H516" t="s">
        <v>1351</v>
      </c>
      <c r="I516" t="s">
        <v>1350</v>
      </c>
    </row>
    <row r="517" spans="1:9" x14ac:dyDescent="0.25">
      <c r="A517" t="str">
        <f>"92324434FB"</f>
        <v>92324434FB</v>
      </c>
      <c r="B517" t="s">
        <v>9</v>
      </c>
      <c r="C517" t="s">
        <v>1352</v>
      </c>
      <c r="D517" t="s">
        <v>30</v>
      </c>
      <c r="E517" t="s">
        <v>152</v>
      </c>
      <c r="F517" t="s">
        <v>152</v>
      </c>
      <c r="G517" t="s">
        <v>1353</v>
      </c>
      <c r="H517" t="s">
        <v>1354</v>
      </c>
      <c r="I517" t="s">
        <v>1353</v>
      </c>
    </row>
    <row r="518" spans="1:9" x14ac:dyDescent="0.25">
      <c r="A518" t="str">
        <f>"9232630F49"</f>
        <v>9232630F49</v>
      </c>
      <c r="B518" t="s">
        <v>9</v>
      </c>
      <c r="C518" t="s">
        <v>1355</v>
      </c>
      <c r="D518" t="s">
        <v>30</v>
      </c>
      <c r="E518" t="s">
        <v>523</v>
      </c>
      <c r="F518" t="s">
        <v>523</v>
      </c>
      <c r="G518" t="s">
        <v>1116</v>
      </c>
      <c r="H518" t="s">
        <v>1354</v>
      </c>
      <c r="I518" t="s">
        <v>1116</v>
      </c>
    </row>
    <row r="519" spans="1:9" x14ac:dyDescent="0.25">
      <c r="A519" t="str">
        <f>"9201023C5E"</f>
        <v>9201023C5E</v>
      </c>
      <c r="B519" t="s">
        <v>9</v>
      </c>
      <c r="C519" t="s">
        <v>1356</v>
      </c>
      <c r="D519" t="s">
        <v>30</v>
      </c>
      <c r="E519" t="s">
        <v>1357</v>
      </c>
      <c r="F519" t="s">
        <v>1357</v>
      </c>
      <c r="G519" t="s">
        <v>1358</v>
      </c>
      <c r="H519" t="s">
        <v>1359</v>
      </c>
      <c r="I519" t="s">
        <v>1360</v>
      </c>
    </row>
    <row r="520" spans="1:9" x14ac:dyDescent="0.25">
      <c r="A520" t="str">
        <f>"9231086526"</f>
        <v>9231086526</v>
      </c>
      <c r="B520" t="s">
        <v>9</v>
      </c>
      <c r="C520" t="s">
        <v>1361</v>
      </c>
      <c r="D520" t="s">
        <v>30</v>
      </c>
      <c r="E520" t="s">
        <v>1362</v>
      </c>
      <c r="F520" t="s">
        <v>1362</v>
      </c>
      <c r="G520" t="s">
        <v>1363</v>
      </c>
      <c r="H520" t="s">
        <v>1364</v>
      </c>
      <c r="I520" t="s">
        <v>1363</v>
      </c>
    </row>
    <row r="521" spans="1:9" x14ac:dyDescent="0.25">
      <c r="A521" t="str">
        <f>"911506773D"</f>
        <v>911506773D</v>
      </c>
      <c r="B521" t="s">
        <v>9</v>
      </c>
      <c r="C521" t="s">
        <v>1365</v>
      </c>
      <c r="D521" t="s">
        <v>30</v>
      </c>
      <c r="E521" t="s">
        <v>1366</v>
      </c>
      <c r="F521" t="s">
        <v>1366</v>
      </c>
      <c r="G521" t="s">
        <v>1194</v>
      </c>
      <c r="H521" t="s">
        <v>1367</v>
      </c>
      <c r="I521" t="s">
        <v>1194</v>
      </c>
    </row>
    <row r="522" spans="1:9" x14ac:dyDescent="0.25">
      <c r="A522" t="str">
        <f>"92286971B0"</f>
        <v>92286971B0</v>
      </c>
      <c r="B522" t="s">
        <v>9</v>
      </c>
      <c r="C522" t="s">
        <v>1368</v>
      </c>
      <c r="D522" t="s">
        <v>30</v>
      </c>
      <c r="E522" t="s">
        <v>1369</v>
      </c>
      <c r="F522" t="s">
        <v>1369</v>
      </c>
      <c r="G522" t="s">
        <v>1370</v>
      </c>
      <c r="H522" t="s">
        <v>1371</v>
      </c>
      <c r="I522" t="s">
        <v>1370</v>
      </c>
    </row>
    <row r="523" spans="1:9" x14ac:dyDescent="0.25">
      <c r="A523" t="str">
        <f>"9228852199"</f>
        <v>9228852199</v>
      </c>
      <c r="B523" t="s">
        <v>9</v>
      </c>
      <c r="C523" t="s">
        <v>1372</v>
      </c>
      <c r="D523" t="s">
        <v>30</v>
      </c>
      <c r="E523" t="s">
        <v>1373</v>
      </c>
      <c r="F523" t="s">
        <v>1373</v>
      </c>
      <c r="G523" t="s">
        <v>1374</v>
      </c>
      <c r="H523" t="s">
        <v>1371</v>
      </c>
      <c r="I523" t="s">
        <v>1374</v>
      </c>
    </row>
    <row r="524" spans="1:9" x14ac:dyDescent="0.25">
      <c r="A524" t="str">
        <f>"9228781700"</f>
        <v>9228781700</v>
      </c>
      <c r="B524" t="s">
        <v>9</v>
      </c>
      <c r="C524" t="s">
        <v>1375</v>
      </c>
      <c r="D524" t="s">
        <v>30</v>
      </c>
      <c r="E524" t="s">
        <v>1108</v>
      </c>
      <c r="F524" t="s">
        <v>1108</v>
      </c>
      <c r="G524" t="s">
        <v>1376</v>
      </c>
      <c r="H524" t="s">
        <v>1371</v>
      </c>
      <c r="I524" t="s">
        <v>1376</v>
      </c>
    </row>
    <row r="525" spans="1:9" x14ac:dyDescent="0.25">
      <c r="A525" t="str">
        <f>"9227560766"</f>
        <v>9227560766</v>
      </c>
      <c r="B525" t="s">
        <v>9</v>
      </c>
      <c r="C525" t="s">
        <v>1377</v>
      </c>
      <c r="D525" t="s">
        <v>30</v>
      </c>
      <c r="E525" t="s">
        <v>1378</v>
      </c>
      <c r="F525" t="s">
        <v>1378</v>
      </c>
      <c r="G525" t="s">
        <v>553</v>
      </c>
      <c r="H525" t="s">
        <v>1379</v>
      </c>
      <c r="I525" t="s">
        <v>397</v>
      </c>
    </row>
    <row r="526" spans="1:9" x14ac:dyDescent="0.25">
      <c r="A526" t="str">
        <f>"9225860C82"</f>
        <v>9225860C82</v>
      </c>
      <c r="B526" t="s">
        <v>9</v>
      </c>
      <c r="C526" t="s">
        <v>1380</v>
      </c>
      <c r="D526" t="s">
        <v>30</v>
      </c>
      <c r="E526" t="s">
        <v>152</v>
      </c>
      <c r="F526" t="s">
        <v>152</v>
      </c>
      <c r="G526" t="s">
        <v>1381</v>
      </c>
      <c r="H526" t="s">
        <v>1382</v>
      </c>
      <c r="I526" t="s">
        <v>1381</v>
      </c>
    </row>
    <row r="527" spans="1:9" x14ac:dyDescent="0.25">
      <c r="A527" t="str">
        <f>"92275574ED"</f>
        <v>92275574ED</v>
      </c>
      <c r="B527" t="s">
        <v>9</v>
      </c>
      <c r="C527" t="s">
        <v>1383</v>
      </c>
      <c r="D527" t="s">
        <v>30</v>
      </c>
      <c r="E527" t="s">
        <v>821</v>
      </c>
      <c r="F527" t="s">
        <v>821</v>
      </c>
      <c r="G527" t="s">
        <v>1384</v>
      </c>
      <c r="H527" t="s">
        <v>1385</v>
      </c>
      <c r="I527" t="s">
        <v>1384</v>
      </c>
    </row>
    <row r="528" spans="1:9" x14ac:dyDescent="0.25">
      <c r="A528" t="str">
        <f>"9227273A8E"</f>
        <v>9227273A8E</v>
      </c>
      <c r="B528" t="s">
        <v>9</v>
      </c>
      <c r="C528" t="s">
        <v>1386</v>
      </c>
      <c r="D528" t="s">
        <v>30</v>
      </c>
      <c r="E528" t="s">
        <v>1387</v>
      </c>
      <c r="F528" t="s">
        <v>1387</v>
      </c>
      <c r="G528" t="s">
        <v>1388</v>
      </c>
      <c r="H528" t="s">
        <v>1389</v>
      </c>
      <c r="I528" t="s">
        <v>1388</v>
      </c>
    </row>
    <row r="529" spans="1:9" x14ac:dyDescent="0.25">
      <c r="A529" t="str">
        <f>"9227354D65"</f>
        <v>9227354D65</v>
      </c>
      <c r="B529" t="s">
        <v>9</v>
      </c>
      <c r="C529" t="s">
        <v>1390</v>
      </c>
      <c r="D529" t="s">
        <v>30</v>
      </c>
      <c r="E529" t="s">
        <v>763</v>
      </c>
      <c r="F529" t="s">
        <v>763</v>
      </c>
      <c r="G529" t="s">
        <v>1391</v>
      </c>
      <c r="H529" t="s">
        <v>1392</v>
      </c>
      <c r="I529" t="s">
        <v>1391</v>
      </c>
    </row>
    <row r="530" spans="1:9" x14ac:dyDescent="0.25">
      <c r="A530" t="str">
        <f>"9274500783"</f>
        <v>9274500783</v>
      </c>
      <c r="B530" t="s">
        <v>9</v>
      </c>
      <c r="C530" t="s">
        <v>1393</v>
      </c>
      <c r="D530" t="s">
        <v>30</v>
      </c>
      <c r="E530" t="s">
        <v>1394</v>
      </c>
      <c r="F530" t="s">
        <v>1394</v>
      </c>
      <c r="G530" t="s">
        <v>1395</v>
      </c>
      <c r="H530" t="s">
        <v>1396</v>
      </c>
      <c r="I530" t="s">
        <v>1395</v>
      </c>
    </row>
    <row r="531" spans="1:9" x14ac:dyDescent="0.25">
      <c r="A531" t="str">
        <f>"91565586B2"</f>
        <v>91565586B2</v>
      </c>
      <c r="B531" t="s">
        <v>9</v>
      </c>
      <c r="C531" t="s">
        <v>1397</v>
      </c>
      <c r="D531" t="s">
        <v>30</v>
      </c>
      <c r="E531" t="s">
        <v>188</v>
      </c>
      <c r="F531" t="s">
        <v>188</v>
      </c>
      <c r="G531" t="s">
        <v>1398</v>
      </c>
      <c r="H531" t="s">
        <v>1399</v>
      </c>
      <c r="I531" t="s">
        <v>1398</v>
      </c>
    </row>
    <row r="532" spans="1:9" x14ac:dyDescent="0.25">
      <c r="A532" t="str">
        <f>"9255697AC8"</f>
        <v>9255697AC8</v>
      </c>
      <c r="B532" t="s">
        <v>9</v>
      </c>
      <c r="C532" t="s">
        <v>1400</v>
      </c>
      <c r="D532" t="s">
        <v>30</v>
      </c>
      <c r="E532" t="s">
        <v>626</v>
      </c>
      <c r="F532" t="s">
        <v>626</v>
      </c>
      <c r="G532" t="s">
        <v>1401</v>
      </c>
      <c r="H532" t="s">
        <v>1402</v>
      </c>
      <c r="I532" t="s">
        <v>1403</v>
      </c>
    </row>
    <row r="533" spans="1:9" x14ac:dyDescent="0.25">
      <c r="A533" t="str">
        <f>"9202694F51"</f>
        <v>9202694F51</v>
      </c>
      <c r="B533" t="s">
        <v>9</v>
      </c>
      <c r="C533" t="s">
        <v>1404</v>
      </c>
      <c r="D533" t="s">
        <v>30</v>
      </c>
      <c r="E533" t="s">
        <v>1405</v>
      </c>
      <c r="F533" t="s">
        <v>1405</v>
      </c>
      <c r="G533" t="s">
        <v>1406</v>
      </c>
      <c r="H533" t="s">
        <v>1407</v>
      </c>
      <c r="I533" t="s">
        <v>1406</v>
      </c>
    </row>
    <row r="534" spans="1:9" x14ac:dyDescent="0.25">
      <c r="A534" t="str">
        <f>"91676919EF"</f>
        <v>91676919EF</v>
      </c>
      <c r="B534" t="s">
        <v>9</v>
      </c>
      <c r="C534" t="s">
        <v>1408</v>
      </c>
      <c r="D534" t="s">
        <v>30</v>
      </c>
      <c r="E534" t="s">
        <v>1409</v>
      </c>
      <c r="F534" t="s">
        <v>1409</v>
      </c>
      <c r="G534" t="s">
        <v>1410</v>
      </c>
      <c r="H534" t="s">
        <v>1411</v>
      </c>
      <c r="I534" t="s">
        <v>1410</v>
      </c>
    </row>
    <row r="535" spans="1:9" x14ac:dyDescent="0.25">
      <c r="A535" t="str">
        <f>"91832376E7"</f>
        <v>91832376E7</v>
      </c>
      <c r="B535" t="s">
        <v>9</v>
      </c>
      <c r="C535" t="s">
        <v>1412</v>
      </c>
      <c r="D535" t="s">
        <v>30</v>
      </c>
      <c r="E535" t="s">
        <v>1413</v>
      </c>
      <c r="F535" t="s">
        <v>1413</v>
      </c>
      <c r="G535" t="s">
        <v>1414</v>
      </c>
      <c r="H535" t="s">
        <v>1415</v>
      </c>
      <c r="I535" t="s">
        <v>1414</v>
      </c>
    </row>
    <row r="536" spans="1:9" x14ac:dyDescent="0.25">
      <c r="A536" t="str">
        <f>"92028185A8"</f>
        <v>92028185A8</v>
      </c>
      <c r="B536" t="s">
        <v>9</v>
      </c>
      <c r="C536" t="s">
        <v>1416</v>
      </c>
      <c r="D536" t="s">
        <v>30</v>
      </c>
      <c r="E536" t="s">
        <v>1417</v>
      </c>
      <c r="F536" t="s">
        <v>1417</v>
      </c>
      <c r="G536" t="s">
        <v>1418</v>
      </c>
      <c r="H536" t="s">
        <v>1419</v>
      </c>
      <c r="I536" t="s">
        <v>1418</v>
      </c>
    </row>
    <row r="537" spans="1:9" x14ac:dyDescent="0.25">
      <c r="A537" t="str">
        <f>"9213469B22"</f>
        <v>9213469B22</v>
      </c>
      <c r="B537" t="s">
        <v>9</v>
      </c>
      <c r="C537" t="s">
        <v>1420</v>
      </c>
      <c r="D537" t="s">
        <v>30</v>
      </c>
      <c r="E537" t="s">
        <v>177</v>
      </c>
      <c r="F537" t="s">
        <v>177</v>
      </c>
      <c r="G537" t="s">
        <v>1421</v>
      </c>
      <c r="H537" t="s">
        <v>1422</v>
      </c>
      <c r="I537" t="s">
        <v>1421</v>
      </c>
    </row>
    <row r="538" spans="1:9" x14ac:dyDescent="0.25">
      <c r="A538" t="str">
        <f>"86930503CC"</f>
        <v>86930503CC</v>
      </c>
      <c r="B538" t="s">
        <v>9</v>
      </c>
      <c r="C538" t="s">
        <v>1423</v>
      </c>
      <c r="D538" t="s">
        <v>30</v>
      </c>
      <c r="E538" t="s">
        <v>1424</v>
      </c>
      <c r="F538" t="s">
        <v>1424</v>
      </c>
      <c r="G538" t="s">
        <v>1425</v>
      </c>
      <c r="H538" t="s">
        <v>1426</v>
      </c>
      <c r="I538" t="s">
        <v>1425</v>
      </c>
    </row>
    <row r="539" spans="1:9" x14ac:dyDescent="0.25">
      <c r="A539" t="str">
        <f>"91099654F0"</f>
        <v>91099654F0</v>
      </c>
      <c r="B539" t="s">
        <v>9</v>
      </c>
      <c r="C539" t="s">
        <v>1427</v>
      </c>
      <c r="D539" t="s">
        <v>30</v>
      </c>
      <c r="E539" t="s">
        <v>67</v>
      </c>
      <c r="F539" t="s">
        <v>67</v>
      </c>
      <c r="G539" t="s">
        <v>1428</v>
      </c>
      <c r="H539" t="s">
        <v>1429</v>
      </c>
      <c r="I539" t="s">
        <v>1430</v>
      </c>
    </row>
    <row r="540" spans="1:9" x14ac:dyDescent="0.25">
      <c r="A540" t="str">
        <f>"9112593D9F"</f>
        <v>9112593D9F</v>
      </c>
      <c r="B540" t="s">
        <v>9</v>
      </c>
      <c r="C540" t="s">
        <v>1431</v>
      </c>
      <c r="D540" t="s">
        <v>30</v>
      </c>
      <c r="E540" t="s">
        <v>903</v>
      </c>
      <c r="F540" t="s">
        <v>903</v>
      </c>
      <c r="G540" t="s">
        <v>1432</v>
      </c>
      <c r="H540" t="s">
        <v>1433</v>
      </c>
      <c r="I540" t="s">
        <v>1434</v>
      </c>
    </row>
    <row r="541" spans="1:9" x14ac:dyDescent="0.25">
      <c r="A541" t="str">
        <f>"9202381D06"</f>
        <v>9202381D06</v>
      </c>
      <c r="B541" t="s">
        <v>9</v>
      </c>
      <c r="C541" t="s">
        <v>1435</v>
      </c>
      <c r="D541" t="s">
        <v>30</v>
      </c>
      <c r="E541" t="s">
        <v>152</v>
      </c>
      <c r="F541" t="s">
        <v>152</v>
      </c>
      <c r="G541" t="s">
        <v>1436</v>
      </c>
      <c r="H541" t="s">
        <v>1437</v>
      </c>
      <c r="I541" t="s">
        <v>1436</v>
      </c>
    </row>
    <row r="542" spans="1:9" x14ac:dyDescent="0.25">
      <c r="A542" t="str">
        <f>"9201565BA4"</f>
        <v>9201565BA4</v>
      </c>
      <c r="B542" t="s">
        <v>9</v>
      </c>
      <c r="C542" t="s">
        <v>1438</v>
      </c>
      <c r="D542" t="s">
        <v>30</v>
      </c>
      <c r="E542" t="s">
        <v>1439</v>
      </c>
      <c r="F542" t="s">
        <v>1439</v>
      </c>
      <c r="G542" t="s">
        <v>1440</v>
      </c>
      <c r="H542" t="s">
        <v>1441</v>
      </c>
      <c r="I542" t="s">
        <v>1440</v>
      </c>
    </row>
    <row r="543" spans="1:9" x14ac:dyDescent="0.25">
      <c r="A543" t="str">
        <f>"9195167BD8"</f>
        <v>9195167BD8</v>
      </c>
      <c r="B543" t="s">
        <v>9</v>
      </c>
      <c r="C543" t="s">
        <v>1442</v>
      </c>
      <c r="D543" t="s">
        <v>30</v>
      </c>
      <c r="E543" t="s">
        <v>1443</v>
      </c>
      <c r="F543" t="s">
        <v>1443</v>
      </c>
      <c r="G543" t="s">
        <v>1444</v>
      </c>
      <c r="H543" t="s">
        <v>1445</v>
      </c>
      <c r="I543" t="s">
        <v>1444</v>
      </c>
    </row>
    <row r="544" spans="1:9" x14ac:dyDescent="0.25">
      <c r="A544" t="str">
        <f>"9188420C0B"</f>
        <v>9188420C0B</v>
      </c>
      <c r="B544" t="s">
        <v>9</v>
      </c>
      <c r="C544" t="s">
        <v>1446</v>
      </c>
      <c r="D544" t="s">
        <v>30</v>
      </c>
      <c r="E544" t="s">
        <v>1447</v>
      </c>
      <c r="F544" t="s">
        <v>1447</v>
      </c>
      <c r="G544" t="s">
        <v>1448</v>
      </c>
      <c r="H544" t="s">
        <v>1449</v>
      </c>
      <c r="I544" t="s">
        <v>1448</v>
      </c>
    </row>
    <row r="545" spans="1:9" x14ac:dyDescent="0.25">
      <c r="A545" t="str">
        <f>"9189656807"</f>
        <v>9189656807</v>
      </c>
      <c r="B545" t="s">
        <v>9</v>
      </c>
      <c r="C545" t="s">
        <v>1450</v>
      </c>
      <c r="D545" t="s">
        <v>30</v>
      </c>
      <c r="E545" t="s">
        <v>1451</v>
      </c>
      <c r="F545" t="s">
        <v>1451</v>
      </c>
      <c r="G545" t="s">
        <v>1452</v>
      </c>
      <c r="H545" t="s">
        <v>1453</v>
      </c>
      <c r="I545" t="s">
        <v>1452</v>
      </c>
    </row>
    <row r="546" spans="1:9" x14ac:dyDescent="0.25">
      <c r="A546" t="str">
        <f>"9183830045"</f>
        <v>9183830045</v>
      </c>
      <c r="B546" t="s">
        <v>9</v>
      </c>
      <c r="C546" t="s">
        <v>1454</v>
      </c>
      <c r="D546" t="s">
        <v>30</v>
      </c>
      <c r="E546" t="s">
        <v>939</v>
      </c>
      <c r="F546" t="s">
        <v>939</v>
      </c>
      <c r="G546" t="s">
        <v>1455</v>
      </c>
      <c r="H546" t="s">
        <v>1456</v>
      </c>
      <c r="I546" t="s">
        <v>1455</v>
      </c>
    </row>
    <row r="547" spans="1:9" x14ac:dyDescent="0.25">
      <c r="A547" t="str">
        <f>"9184420725"</f>
        <v>9184420725</v>
      </c>
      <c r="B547" t="s">
        <v>9</v>
      </c>
      <c r="C547" t="s">
        <v>1457</v>
      </c>
      <c r="D547" t="s">
        <v>30</v>
      </c>
      <c r="E547" t="s">
        <v>495</v>
      </c>
      <c r="F547" t="s">
        <v>495</v>
      </c>
      <c r="G547" t="s">
        <v>1458</v>
      </c>
      <c r="H547" t="s">
        <v>1459</v>
      </c>
    </row>
    <row r="548" spans="1:9" x14ac:dyDescent="0.25">
      <c r="A548" t="str">
        <f>"91732651C1"</f>
        <v>91732651C1</v>
      </c>
      <c r="B548" t="s">
        <v>9</v>
      </c>
      <c r="C548" t="s">
        <v>1460</v>
      </c>
      <c r="D548" t="s">
        <v>30</v>
      </c>
      <c r="E548" t="s">
        <v>686</v>
      </c>
      <c r="F548" t="s">
        <v>686</v>
      </c>
      <c r="G548" t="s">
        <v>1140</v>
      </c>
      <c r="H548" t="s">
        <v>1461</v>
      </c>
      <c r="I548" t="s">
        <v>1140</v>
      </c>
    </row>
    <row r="549" spans="1:9" x14ac:dyDescent="0.25">
      <c r="A549" t="str">
        <f>"9184556760"</f>
        <v>9184556760</v>
      </c>
      <c r="B549" t="s">
        <v>9</v>
      </c>
      <c r="C549" t="s">
        <v>1462</v>
      </c>
      <c r="D549" t="s">
        <v>30</v>
      </c>
      <c r="E549" t="s">
        <v>1301</v>
      </c>
      <c r="F549" t="s">
        <v>1301</v>
      </c>
      <c r="G549" t="s">
        <v>1410</v>
      </c>
      <c r="H549" t="s">
        <v>1463</v>
      </c>
    </row>
    <row r="550" spans="1:9" x14ac:dyDescent="0.25">
      <c r="A550" t="str">
        <f>"9185289445"</f>
        <v>9185289445</v>
      </c>
      <c r="B550" t="s">
        <v>9</v>
      </c>
      <c r="C550" t="s">
        <v>1464</v>
      </c>
      <c r="D550" t="s">
        <v>30</v>
      </c>
      <c r="E550" t="s">
        <v>1465</v>
      </c>
      <c r="F550" t="s">
        <v>1465</v>
      </c>
      <c r="G550" t="s">
        <v>1466</v>
      </c>
      <c r="H550" t="s">
        <v>1467</v>
      </c>
      <c r="I550" t="s">
        <v>1466</v>
      </c>
    </row>
    <row r="551" spans="1:9" x14ac:dyDescent="0.25">
      <c r="A551" t="str">
        <f>"918967360F"</f>
        <v>918967360F</v>
      </c>
      <c r="B551" t="s">
        <v>9</v>
      </c>
      <c r="C551" t="s">
        <v>1468</v>
      </c>
      <c r="D551" t="s">
        <v>30</v>
      </c>
      <c r="E551" t="s">
        <v>1469</v>
      </c>
      <c r="F551" t="s">
        <v>1469</v>
      </c>
      <c r="G551" t="s">
        <v>1470</v>
      </c>
      <c r="H551" t="s">
        <v>1471</v>
      </c>
      <c r="I551" t="s">
        <v>1472</v>
      </c>
    </row>
    <row r="552" spans="1:9" x14ac:dyDescent="0.25">
      <c r="A552" t="str">
        <f>"9182818D20"</f>
        <v>9182818D20</v>
      </c>
      <c r="B552" t="s">
        <v>9</v>
      </c>
      <c r="C552" t="s">
        <v>1473</v>
      </c>
      <c r="D552" t="s">
        <v>30</v>
      </c>
      <c r="E552" t="s">
        <v>755</v>
      </c>
      <c r="F552" t="s">
        <v>755</v>
      </c>
      <c r="G552" t="s">
        <v>1474</v>
      </c>
      <c r="H552" t="s">
        <v>1471</v>
      </c>
      <c r="I552" t="s">
        <v>1474</v>
      </c>
    </row>
    <row r="553" spans="1:9" x14ac:dyDescent="0.25">
      <c r="A553" t="str">
        <f>"9181191E7B"</f>
        <v>9181191E7B</v>
      </c>
      <c r="B553" t="s">
        <v>9</v>
      </c>
      <c r="C553" t="s">
        <v>1475</v>
      </c>
      <c r="D553" t="s">
        <v>30</v>
      </c>
      <c r="E553" t="s">
        <v>779</v>
      </c>
      <c r="F553" t="s">
        <v>779</v>
      </c>
      <c r="G553" t="s">
        <v>1476</v>
      </c>
      <c r="H553" t="s">
        <v>1477</v>
      </c>
      <c r="I553" t="s">
        <v>1476</v>
      </c>
    </row>
    <row r="554" spans="1:9" x14ac:dyDescent="0.25">
      <c r="A554" t="str">
        <f>"91124843AF"</f>
        <v>91124843AF</v>
      </c>
      <c r="B554" t="s">
        <v>9</v>
      </c>
      <c r="C554" t="s">
        <v>240</v>
      </c>
      <c r="D554" t="s">
        <v>30</v>
      </c>
      <c r="E554" t="s">
        <v>1478</v>
      </c>
      <c r="F554" t="s">
        <v>1478</v>
      </c>
      <c r="G554" t="s">
        <v>1479</v>
      </c>
      <c r="H554" t="s">
        <v>1480</v>
      </c>
      <c r="I554" t="s">
        <v>1479</v>
      </c>
    </row>
    <row r="555" spans="1:9" x14ac:dyDescent="0.25">
      <c r="A555" t="str">
        <f>"912737434D"</f>
        <v>912737434D</v>
      </c>
      <c r="B555" t="s">
        <v>9</v>
      </c>
      <c r="C555" t="s">
        <v>1481</v>
      </c>
      <c r="D555" t="s">
        <v>30</v>
      </c>
      <c r="E555" t="s">
        <v>1482</v>
      </c>
      <c r="F555" t="s">
        <v>1482</v>
      </c>
      <c r="G555" t="s">
        <v>1483</v>
      </c>
      <c r="H555" t="s">
        <v>1484</v>
      </c>
      <c r="I555" t="s">
        <v>1483</v>
      </c>
    </row>
    <row r="556" spans="1:9" x14ac:dyDescent="0.25">
      <c r="A556" t="str">
        <f>"9176383ECB"</f>
        <v>9176383ECB</v>
      </c>
      <c r="B556" t="s">
        <v>9</v>
      </c>
      <c r="C556" t="s">
        <v>1485</v>
      </c>
      <c r="D556" t="s">
        <v>30</v>
      </c>
      <c r="E556" t="s">
        <v>523</v>
      </c>
      <c r="F556" t="s">
        <v>523</v>
      </c>
      <c r="G556" t="s">
        <v>1486</v>
      </c>
      <c r="H556" t="s">
        <v>1487</v>
      </c>
      <c r="I556" t="s">
        <v>1486</v>
      </c>
    </row>
    <row r="557" spans="1:9" x14ac:dyDescent="0.25">
      <c r="A557" t="str">
        <f>"9171991669"</f>
        <v>9171991669</v>
      </c>
      <c r="B557" t="s">
        <v>9</v>
      </c>
      <c r="C557" t="s">
        <v>1488</v>
      </c>
      <c r="D557" t="s">
        <v>30</v>
      </c>
      <c r="E557" t="s">
        <v>1489</v>
      </c>
      <c r="F557" t="s">
        <v>1489</v>
      </c>
      <c r="G557" t="s">
        <v>1490</v>
      </c>
      <c r="H557" t="s">
        <v>1491</v>
      </c>
      <c r="I557" t="s">
        <v>1490</v>
      </c>
    </row>
    <row r="558" spans="1:9" x14ac:dyDescent="0.25">
      <c r="A558" t="str">
        <f>"9158735B35"</f>
        <v>9158735B35</v>
      </c>
      <c r="B558" t="s">
        <v>9</v>
      </c>
      <c r="C558" t="s">
        <v>1492</v>
      </c>
      <c r="D558" t="s">
        <v>30</v>
      </c>
      <c r="E558" t="s">
        <v>476</v>
      </c>
      <c r="F558" t="s">
        <v>476</v>
      </c>
      <c r="G558" t="s">
        <v>1493</v>
      </c>
      <c r="H558" t="s">
        <v>1494</v>
      </c>
      <c r="I558" t="s">
        <v>1493</v>
      </c>
    </row>
    <row r="559" spans="1:9" x14ac:dyDescent="0.25">
      <c r="A559" t="str">
        <f>"9172786677"</f>
        <v>9172786677</v>
      </c>
      <c r="B559" t="s">
        <v>9</v>
      </c>
      <c r="C559" t="s">
        <v>1495</v>
      </c>
      <c r="D559" t="s">
        <v>11</v>
      </c>
      <c r="E559" t="s">
        <v>72</v>
      </c>
      <c r="F559" t="s">
        <v>72</v>
      </c>
      <c r="G559" t="s">
        <v>1496</v>
      </c>
      <c r="H559" t="s">
        <v>1497</v>
      </c>
      <c r="I559" t="s">
        <v>1496</v>
      </c>
    </row>
    <row r="560" spans="1:9" x14ac:dyDescent="0.25">
      <c r="A560" t="str">
        <f>"917393282C"</f>
        <v>917393282C</v>
      </c>
      <c r="B560" t="s">
        <v>9</v>
      </c>
      <c r="C560" t="s">
        <v>1498</v>
      </c>
      <c r="D560" t="s">
        <v>30</v>
      </c>
      <c r="E560" t="s">
        <v>1499</v>
      </c>
      <c r="F560" t="s">
        <v>1499</v>
      </c>
      <c r="G560" t="s">
        <v>822</v>
      </c>
      <c r="H560" t="s">
        <v>1500</v>
      </c>
    </row>
    <row r="561" spans="1:9" x14ac:dyDescent="0.25">
      <c r="A561" t="str">
        <f>"9094037CBA"</f>
        <v>9094037CBA</v>
      </c>
      <c r="B561" t="s">
        <v>9</v>
      </c>
      <c r="C561" t="s">
        <v>1501</v>
      </c>
      <c r="D561" t="s">
        <v>11</v>
      </c>
      <c r="E561" t="s">
        <v>55</v>
      </c>
      <c r="F561" t="s">
        <v>55</v>
      </c>
      <c r="G561" t="s">
        <v>1502</v>
      </c>
      <c r="H561" t="s">
        <v>1503</v>
      </c>
    </row>
    <row r="562" spans="1:9" x14ac:dyDescent="0.25">
      <c r="A562" t="str">
        <f>"9170772875"</f>
        <v>9170772875</v>
      </c>
      <c r="B562" t="s">
        <v>9</v>
      </c>
      <c r="C562" t="s">
        <v>1504</v>
      </c>
      <c r="D562" t="s">
        <v>30</v>
      </c>
      <c r="E562" t="s">
        <v>666</v>
      </c>
      <c r="F562" t="s">
        <v>666</v>
      </c>
      <c r="G562" t="s">
        <v>1505</v>
      </c>
      <c r="H562" t="s">
        <v>1506</v>
      </c>
      <c r="I562" t="s">
        <v>1505</v>
      </c>
    </row>
    <row r="563" spans="1:9" x14ac:dyDescent="0.25">
      <c r="A563" t="str">
        <f>"9170859043"</f>
        <v>9170859043</v>
      </c>
      <c r="B563" t="s">
        <v>9</v>
      </c>
      <c r="C563" t="s">
        <v>1507</v>
      </c>
      <c r="D563" t="s">
        <v>30</v>
      </c>
      <c r="E563" t="s">
        <v>787</v>
      </c>
      <c r="F563" t="s">
        <v>787</v>
      </c>
      <c r="G563" t="s">
        <v>1508</v>
      </c>
      <c r="H563" t="s">
        <v>1506</v>
      </c>
      <c r="I563" t="s">
        <v>1508</v>
      </c>
    </row>
    <row r="564" spans="1:9" x14ac:dyDescent="0.25">
      <c r="A564" t="str">
        <f>"9171733182"</f>
        <v>9171733182</v>
      </c>
      <c r="B564" t="s">
        <v>9</v>
      </c>
      <c r="C564" t="s">
        <v>1509</v>
      </c>
      <c r="D564" t="s">
        <v>30</v>
      </c>
      <c r="E564" t="s">
        <v>537</v>
      </c>
      <c r="F564" t="s">
        <v>537</v>
      </c>
      <c r="G564" t="s">
        <v>1510</v>
      </c>
      <c r="H564" t="s">
        <v>1503</v>
      </c>
      <c r="I564" t="s">
        <v>1510</v>
      </c>
    </row>
    <row r="565" spans="1:9" x14ac:dyDescent="0.25">
      <c r="A565" t="str">
        <f>"91697859F5"</f>
        <v>91697859F5</v>
      </c>
      <c r="B565" t="s">
        <v>9</v>
      </c>
      <c r="C565" t="s">
        <v>1511</v>
      </c>
      <c r="D565" t="s">
        <v>11</v>
      </c>
      <c r="E565" t="s">
        <v>1020</v>
      </c>
      <c r="F565" t="s">
        <v>1020</v>
      </c>
      <c r="G565" t="s">
        <v>1512</v>
      </c>
      <c r="H565" t="s">
        <v>1513</v>
      </c>
      <c r="I565" t="s">
        <v>1514</v>
      </c>
    </row>
    <row r="566" spans="1:9" x14ac:dyDescent="0.25">
      <c r="A566" t="str">
        <f>"914055616F"</f>
        <v>914055616F</v>
      </c>
      <c r="B566" t="s">
        <v>9</v>
      </c>
      <c r="C566" t="s">
        <v>1515</v>
      </c>
      <c r="D566" t="s">
        <v>30</v>
      </c>
      <c r="E566" t="s">
        <v>1516</v>
      </c>
      <c r="F566" t="s">
        <v>1516</v>
      </c>
      <c r="G566" t="s">
        <v>1517</v>
      </c>
      <c r="H566" t="s">
        <v>1518</v>
      </c>
      <c r="I566" t="s">
        <v>1517</v>
      </c>
    </row>
    <row r="567" spans="1:9" x14ac:dyDescent="0.25">
      <c r="A567" t="str">
        <f>"9166067DC3"</f>
        <v>9166067DC3</v>
      </c>
      <c r="B567" t="s">
        <v>9</v>
      </c>
      <c r="C567" t="s">
        <v>1519</v>
      </c>
      <c r="D567" t="s">
        <v>30</v>
      </c>
      <c r="E567" t="s">
        <v>1520</v>
      </c>
      <c r="F567" t="s">
        <v>1520</v>
      </c>
      <c r="G567" t="s">
        <v>804</v>
      </c>
      <c r="H567" t="s">
        <v>1521</v>
      </c>
      <c r="I567" t="s">
        <v>195</v>
      </c>
    </row>
    <row r="568" spans="1:9" x14ac:dyDescent="0.25">
      <c r="A568" t="str">
        <f>"9158415325"</f>
        <v>9158415325</v>
      </c>
      <c r="B568" t="s">
        <v>9</v>
      </c>
      <c r="C568" t="s">
        <v>1522</v>
      </c>
      <c r="D568" t="s">
        <v>30</v>
      </c>
      <c r="E568" t="s">
        <v>759</v>
      </c>
      <c r="F568" t="s">
        <v>759</v>
      </c>
      <c r="G568" t="s">
        <v>1523</v>
      </c>
      <c r="H568" t="s">
        <v>1524</v>
      </c>
      <c r="I568" t="s">
        <v>1523</v>
      </c>
    </row>
    <row r="569" spans="1:9" x14ac:dyDescent="0.25">
      <c r="A569" t="str">
        <f>"91420019E0"</f>
        <v>91420019E0</v>
      </c>
      <c r="B569" t="s">
        <v>9</v>
      </c>
      <c r="C569" t="s">
        <v>1525</v>
      </c>
      <c r="D569" t="s">
        <v>30</v>
      </c>
      <c r="E569" t="s">
        <v>1526</v>
      </c>
      <c r="F569" t="s">
        <v>1526</v>
      </c>
      <c r="G569" t="s">
        <v>1527</v>
      </c>
      <c r="H569" t="s">
        <v>1528</v>
      </c>
      <c r="I569" t="s">
        <v>1527</v>
      </c>
    </row>
    <row r="570" spans="1:9" x14ac:dyDescent="0.25">
      <c r="A570" t="str">
        <f>"916221422E"</f>
        <v>916221422E</v>
      </c>
      <c r="B570" t="s">
        <v>9</v>
      </c>
      <c r="C570" t="s">
        <v>1529</v>
      </c>
      <c r="D570" t="s">
        <v>30</v>
      </c>
      <c r="E570" t="s">
        <v>177</v>
      </c>
      <c r="F570" t="s">
        <v>177</v>
      </c>
      <c r="G570" t="s">
        <v>1530</v>
      </c>
      <c r="H570" t="s">
        <v>1531</v>
      </c>
      <c r="I570" t="s">
        <v>1530</v>
      </c>
    </row>
    <row r="571" spans="1:9" x14ac:dyDescent="0.25">
      <c r="A571" t="str">
        <f>"91608436CA"</f>
        <v>91608436CA</v>
      </c>
      <c r="B571" t="s">
        <v>9</v>
      </c>
      <c r="C571" t="s">
        <v>1532</v>
      </c>
      <c r="D571" t="s">
        <v>30</v>
      </c>
      <c r="E571" t="s">
        <v>395</v>
      </c>
      <c r="F571" t="s">
        <v>395</v>
      </c>
      <c r="G571" t="s">
        <v>1533</v>
      </c>
      <c r="H571" t="s">
        <v>1534</v>
      </c>
      <c r="I571" t="s">
        <v>1533</v>
      </c>
    </row>
    <row r="572" spans="1:9" x14ac:dyDescent="0.25">
      <c r="A572" t="str">
        <f>"91611915F8"</f>
        <v>91611915F8</v>
      </c>
      <c r="B572" t="s">
        <v>9</v>
      </c>
      <c r="C572" t="s">
        <v>1535</v>
      </c>
      <c r="D572" t="s">
        <v>30</v>
      </c>
      <c r="E572" t="s">
        <v>152</v>
      </c>
      <c r="F572" t="s">
        <v>152</v>
      </c>
      <c r="G572" t="s">
        <v>1536</v>
      </c>
      <c r="H572" t="s">
        <v>1537</v>
      </c>
      <c r="I572" t="s">
        <v>1536</v>
      </c>
    </row>
    <row r="573" spans="1:9" x14ac:dyDescent="0.25">
      <c r="A573" t="str">
        <f>"9159364249"</f>
        <v>9159364249</v>
      </c>
      <c r="B573" t="s">
        <v>9</v>
      </c>
      <c r="C573" t="s">
        <v>1538</v>
      </c>
      <c r="D573" t="s">
        <v>30</v>
      </c>
      <c r="E573" t="s">
        <v>680</v>
      </c>
      <c r="F573" t="s">
        <v>680</v>
      </c>
      <c r="G573" t="s">
        <v>1008</v>
      </c>
      <c r="H573" t="s">
        <v>1539</v>
      </c>
      <c r="I573" t="s">
        <v>1008</v>
      </c>
    </row>
    <row r="574" spans="1:9" x14ac:dyDescent="0.25">
      <c r="A574" t="str">
        <f>"9150266E5D"</f>
        <v>9150266E5D</v>
      </c>
      <c r="B574" t="s">
        <v>9</v>
      </c>
      <c r="C574" t="s">
        <v>1540</v>
      </c>
      <c r="D574" t="s">
        <v>30</v>
      </c>
      <c r="E574" t="s">
        <v>1541</v>
      </c>
      <c r="F574" t="s">
        <v>1541</v>
      </c>
      <c r="G574" t="s">
        <v>1542</v>
      </c>
      <c r="H574" t="s">
        <v>1543</v>
      </c>
      <c r="I574" t="s">
        <v>1542</v>
      </c>
    </row>
    <row r="575" spans="1:9" x14ac:dyDescent="0.25">
      <c r="A575" t="str">
        <f>"9152880B82"</f>
        <v>9152880B82</v>
      </c>
      <c r="B575" t="s">
        <v>9</v>
      </c>
      <c r="C575" t="s">
        <v>1544</v>
      </c>
      <c r="D575" t="s">
        <v>30</v>
      </c>
      <c r="E575" t="s">
        <v>1394</v>
      </c>
      <c r="F575" t="s">
        <v>1394</v>
      </c>
      <c r="G575" t="s">
        <v>1545</v>
      </c>
      <c r="H575" t="s">
        <v>1546</v>
      </c>
    </row>
    <row r="576" spans="1:9" x14ac:dyDescent="0.25">
      <c r="A576" t="str">
        <f>"9138097433"</f>
        <v>9138097433</v>
      </c>
      <c r="B576" t="s">
        <v>9</v>
      </c>
      <c r="C576" t="s">
        <v>1547</v>
      </c>
      <c r="D576" t="s">
        <v>30</v>
      </c>
      <c r="E576" t="s">
        <v>355</v>
      </c>
      <c r="F576" t="s">
        <v>355</v>
      </c>
      <c r="G576" t="s">
        <v>1548</v>
      </c>
      <c r="H576" t="s">
        <v>1549</v>
      </c>
      <c r="I576" t="s">
        <v>1548</v>
      </c>
    </row>
    <row r="577" spans="1:9" x14ac:dyDescent="0.25">
      <c r="A577" t="str">
        <f>"914503519F"</f>
        <v>914503519F</v>
      </c>
      <c r="B577" t="s">
        <v>9</v>
      </c>
      <c r="C577" t="s">
        <v>1550</v>
      </c>
      <c r="D577" t="s">
        <v>30</v>
      </c>
      <c r="E577" t="s">
        <v>414</v>
      </c>
      <c r="F577" t="s">
        <v>414</v>
      </c>
      <c r="G577" t="s">
        <v>1551</v>
      </c>
      <c r="H577" t="s">
        <v>1552</v>
      </c>
      <c r="I577" t="s">
        <v>1551</v>
      </c>
    </row>
    <row r="578" spans="1:9" x14ac:dyDescent="0.25">
      <c r="A578" t="str">
        <f>"910671394C"</f>
        <v>910671394C</v>
      </c>
      <c r="B578" t="s">
        <v>9</v>
      </c>
      <c r="C578" t="s">
        <v>1553</v>
      </c>
      <c r="D578" t="s">
        <v>30</v>
      </c>
      <c r="E578" t="s">
        <v>1554</v>
      </c>
      <c r="F578" t="s">
        <v>1554</v>
      </c>
      <c r="G578" t="s">
        <v>1555</v>
      </c>
      <c r="H578" t="s">
        <v>1556</v>
      </c>
      <c r="I578" t="s">
        <v>1555</v>
      </c>
    </row>
    <row r="579" spans="1:9" x14ac:dyDescent="0.25">
      <c r="A579" t="str">
        <f>"9161261FB9"</f>
        <v>9161261FB9</v>
      </c>
      <c r="B579" t="s">
        <v>9</v>
      </c>
      <c r="C579" t="s">
        <v>1557</v>
      </c>
      <c r="D579" t="s">
        <v>30</v>
      </c>
      <c r="E579" t="s">
        <v>680</v>
      </c>
      <c r="F579" t="s">
        <v>680</v>
      </c>
      <c r="G579" t="s">
        <v>1558</v>
      </c>
      <c r="H579" t="s">
        <v>1559</v>
      </c>
      <c r="I579" t="s">
        <v>1558</v>
      </c>
    </row>
    <row r="580" spans="1:9" x14ac:dyDescent="0.25">
      <c r="A580" t="str">
        <f>"9154290715"</f>
        <v>9154290715</v>
      </c>
      <c r="B580" t="s">
        <v>9</v>
      </c>
      <c r="C580" t="s">
        <v>1560</v>
      </c>
      <c r="D580" t="s">
        <v>30</v>
      </c>
      <c r="E580" t="s">
        <v>1561</v>
      </c>
      <c r="F580" t="s">
        <v>1561</v>
      </c>
      <c r="G580" t="s">
        <v>1562</v>
      </c>
      <c r="H580" t="s">
        <v>1563</v>
      </c>
      <c r="I580" t="s">
        <v>1562</v>
      </c>
    </row>
    <row r="581" spans="1:9" x14ac:dyDescent="0.25">
      <c r="A581" t="str">
        <f>"9141058FAE"</f>
        <v>9141058FAE</v>
      </c>
      <c r="B581" t="s">
        <v>9</v>
      </c>
      <c r="C581" t="s">
        <v>1564</v>
      </c>
      <c r="D581" t="s">
        <v>11</v>
      </c>
      <c r="E581" t="s">
        <v>160</v>
      </c>
      <c r="F581" t="s">
        <v>160</v>
      </c>
      <c r="G581" t="s">
        <v>1565</v>
      </c>
      <c r="H581" t="s">
        <v>1566</v>
      </c>
      <c r="I581" t="s">
        <v>1565</v>
      </c>
    </row>
    <row r="582" spans="1:9" x14ac:dyDescent="0.25">
      <c r="A582" t="str">
        <f>"9139582DA6"</f>
        <v>9139582DA6</v>
      </c>
      <c r="B582" t="s">
        <v>9</v>
      </c>
      <c r="C582" t="s">
        <v>1567</v>
      </c>
      <c r="D582" t="s">
        <v>30</v>
      </c>
      <c r="E582" t="s">
        <v>1125</v>
      </c>
      <c r="F582" t="s">
        <v>1125</v>
      </c>
      <c r="G582" t="s">
        <v>1568</v>
      </c>
      <c r="H582" t="s">
        <v>1569</v>
      </c>
      <c r="I582" t="s">
        <v>1568</v>
      </c>
    </row>
    <row r="583" spans="1:9" x14ac:dyDescent="0.25">
      <c r="A583" t="str">
        <f>"91459504B3"</f>
        <v>91459504B3</v>
      </c>
      <c r="B583" t="s">
        <v>9</v>
      </c>
      <c r="C583" t="s">
        <v>1570</v>
      </c>
      <c r="D583" t="s">
        <v>30</v>
      </c>
      <c r="E583" t="s">
        <v>251</v>
      </c>
      <c r="F583" t="s">
        <v>251</v>
      </c>
      <c r="G583" t="s">
        <v>1571</v>
      </c>
      <c r="H583" t="s">
        <v>1572</v>
      </c>
      <c r="I583" t="s">
        <v>1571</v>
      </c>
    </row>
    <row r="584" spans="1:9" x14ac:dyDescent="0.25">
      <c r="A584" t="str">
        <f>"9130926680"</f>
        <v>9130926680</v>
      </c>
      <c r="B584" t="s">
        <v>9</v>
      </c>
      <c r="C584" t="s">
        <v>1573</v>
      </c>
      <c r="D584" t="s">
        <v>30</v>
      </c>
      <c r="E584" t="s">
        <v>1574</v>
      </c>
      <c r="F584" t="s">
        <v>1574</v>
      </c>
      <c r="G584" t="s">
        <v>1575</v>
      </c>
      <c r="H584" t="s">
        <v>1576</v>
      </c>
      <c r="I584" t="s">
        <v>1575</v>
      </c>
    </row>
    <row r="585" spans="1:9" x14ac:dyDescent="0.25">
      <c r="A585" t="str">
        <f>"9140504684"</f>
        <v>9140504684</v>
      </c>
      <c r="B585" t="s">
        <v>9</v>
      </c>
      <c r="C585" t="s">
        <v>1577</v>
      </c>
      <c r="D585" t="s">
        <v>30</v>
      </c>
      <c r="E585" t="s">
        <v>943</v>
      </c>
      <c r="F585" t="s">
        <v>943</v>
      </c>
      <c r="G585" t="s">
        <v>1578</v>
      </c>
      <c r="H585" t="s">
        <v>1579</v>
      </c>
      <c r="I585" t="s">
        <v>1578</v>
      </c>
    </row>
    <row r="586" spans="1:9" x14ac:dyDescent="0.25">
      <c r="A586" t="str">
        <f>"9142177B1D"</f>
        <v>9142177B1D</v>
      </c>
      <c r="B586" t="s">
        <v>9</v>
      </c>
      <c r="C586" t="s">
        <v>1580</v>
      </c>
      <c r="D586" t="s">
        <v>30</v>
      </c>
      <c r="E586" t="s">
        <v>160</v>
      </c>
      <c r="F586" t="s">
        <v>160</v>
      </c>
      <c r="G586" t="s">
        <v>1581</v>
      </c>
      <c r="H586" t="s">
        <v>1582</v>
      </c>
      <c r="I586" t="s">
        <v>1581</v>
      </c>
    </row>
    <row r="587" spans="1:9" x14ac:dyDescent="0.25">
      <c r="A587" t="str">
        <f>"9142083D8A"</f>
        <v>9142083D8A</v>
      </c>
      <c r="B587" t="s">
        <v>9</v>
      </c>
      <c r="C587" t="s">
        <v>1583</v>
      </c>
      <c r="D587" t="s">
        <v>30</v>
      </c>
      <c r="E587" t="s">
        <v>160</v>
      </c>
      <c r="F587" t="s">
        <v>160</v>
      </c>
      <c r="G587" t="s">
        <v>1584</v>
      </c>
      <c r="H587" t="s">
        <v>1582</v>
      </c>
      <c r="I587" t="s">
        <v>1584</v>
      </c>
    </row>
    <row r="588" spans="1:9" x14ac:dyDescent="0.25">
      <c r="A588" t="str">
        <f>"9142199D44"</f>
        <v>9142199D44</v>
      </c>
      <c r="B588" t="s">
        <v>9</v>
      </c>
      <c r="C588" t="s">
        <v>1585</v>
      </c>
      <c r="D588" t="s">
        <v>30</v>
      </c>
      <c r="E588" t="s">
        <v>160</v>
      </c>
      <c r="F588" t="s">
        <v>160</v>
      </c>
      <c r="G588" t="s">
        <v>1586</v>
      </c>
      <c r="H588" t="s">
        <v>1587</v>
      </c>
      <c r="I588" t="s">
        <v>1586</v>
      </c>
    </row>
    <row r="589" spans="1:9" x14ac:dyDescent="0.25">
      <c r="A589" t="str">
        <f>"9142237CA0"</f>
        <v>9142237CA0</v>
      </c>
      <c r="B589" t="s">
        <v>9</v>
      </c>
      <c r="C589" t="s">
        <v>1588</v>
      </c>
      <c r="D589" t="s">
        <v>30</v>
      </c>
      <c r="E589" t="s">
        <v>160</v>
      </c>
      <c r="F589" t="s">
        <v>160</v>
      </c>
      <c r="G589" t="s">
        <v>1589</v>
      </c>
      <c r="H589" t="s">
        <v>1582</v>
      </c>
      <c r="I589" t="s">
        <v>1589</v>
      </c>
    </row>
    <row r="590" spans="1:9" x14ac:dyDescent="0.25">
      <c r="A590" t="str">
        <f>"91422653BE"</f>
        <v>91422653BE</v>
      </c>
      <c r="B590" t="s">
        <v>9</v>
      </c>
      <c r="C590" t="s">
        <v>1590</v>
      </c>
      <c r="D590" t="s">
        <v>30</v>
      </c>
      <c r="E590" t="s">
        <v>160</v>
      </c>
      <c r="F590" t="s">
        <v>160</v>
      </c>
      <c r="G590" t="s">
        <v>1591</v>
      </c>
      <c r="H590" t="s">
        <v>1582</v>
      </c>
      <c r="I590" t="s">
        <v>1591</v>
      </c>
    </row>
    <row r="591" spans="1:9" x14ac:dyDescent="0.25">
      <c r="A591" t="str">
        <f>"91421569C9"</f>
        <v>91421569C9</v>
      </c>
      <c r="B591" t="s">
        <v>9</v>
      </c>
      <c r="C591" t="s">
        <v>1592</v>
      </c>
      <c r="D591" t="s">
        <v>30</v>
      </c>
      <c r="E591" t="s">
        <v>160</v>
      </c>
      <c r="F591" t="s">
        <v>160</v>
      </c>
      <c r="G591" t="s">
        <v>1593</v>
      </c>
      <c r="H591" t="s">
        <v>1582</v>
      </c>
      <c r="I591" t="s">
        <v>1593</v>
      </c>
    </row>
    <row r="592" spans="1:9" x14ac:dyDescent="0.25">
      <c r="A592" t="str">
        <f>"91404634AF"</f>
        <v>91404634AF</v>
      </c>
      <c r="B592" t="s">
        <v>9</v>
      </c>
      <c r="C592" t="s">
        <v>1594</v>
      </c>
      <c r="D592" t="s">
        <v>30</v>
      </c>
      <c r="E592" t="s">
        <v>848</v>
      </c>
      <c r="F592" t="s">
        <v>848</v>
      </c>
      <c r="G592" t="s">
        <v>1595</v>
      </c>
      <c r="H592" t="s">
        <v>1596</v>
      </c>
      <c r="I592" t="s">
        <v>718</v>
      </c>
    </row>
    <row r="593" spans="1:9" x14ac:dyDescent="0.25">
      <c r="A593" t="str">
        <f>"924407867C"</f>
        <v>924407867C</v>
      </c>
      <c r="B593" t="s">
        <v>9</v>
      </c>
      <c r="C593" t="s">
        <v>1597</v>
      </c>
      <c r="D593" t="s">
        <v>30</v>
      </c>
      <c r="E593" t="s">
        <v>766</v>
      </c>
      <c r="F593" t="s">
        <v>766</v>
      </c>
      <c r="G593" t="s">
        <v>1598</v>
      </c>
      <c r="H593" t="s">
        <v>1599</v>
      </c>
      <c r="I593" t="s">
        <v>1598</v>
      </c>
    </row>
    <row r="594" spans="1:9" x14ac:dyDescent="0.25">
      <c r="A594" t="str">
        <f>"9131744988"</f>
        <v>9131744988</v>
      </c>
      <c r="B594" t="s">
        <v>9</v>
      </c>
      <c r="C594" t="s">
        <v>1600</v>
      </c>
      <c r="D594" t="s">
        <v>11</v>
      </c>
      <c r="E594" t="s">
        <v>12</v>
      </c>
      <c r="F594" t="s">
        <v>12</v>
      </c>
      <c r="G594" t="s">
        <v>1601</v>
      </c>
      <c r="H594" t="s">
        <v>1602</v>
      </c>
      <c r="I594" t="s">
        <v>1601</v>
      </c>
    </row>
    <row r="595" spans="1:9" x14ac:dyDescent="0.25">
      <c r="A595" t="str">
        <f>"913125994C"</f>
        <v>913125994C</v>
      </c>
      <c r="B595" t="s">
        <v>9</v>
      </c>
      <c r="C595" t="s">
        <v>1603</v>
      </c>
      <c r="D595" t="s">
        <v>30</v>
      </c>
      <c r="E595" t="s">
        <v>1604</v>
      </c>
      <c r="F595" t="s">
        <v>1604</v>
      </c>
      <c r="G595" t="s">
        <v>493</v>
      </c>
      <c r="H595" t="s">
        <v>1605</v>
      </c>
      <c r="I595" t="s">
        <v>493</v>
      </c>
    </row>
    <row r="596" spans="1:9" x14ac:dyDescent="0.25">
      <c r="A596" t="str">
        <f>"91230177C9"</f>
        <v>91230177C9</v>
      </c>
      <c r="B596" t="s">
        <v>9</v>
      </c>
      <c r="C596" t="s">
        <v>1606</v>
      </c>
      <c r="D596" t="s">
        <v>11</v>
      </c>
      <c r="E596" t="s">
        <v>867</v>
      </c>
      <c r="F596" t="s">
        <v>867</v>
      </c>
      <c r="G596" t="s">
        <v>1607</v>
      </c>
      <c r="H596" t="s">
        <v>1605</v>
      </c>
      <c r="I596" t="s">
        <v>1607</v>
      </c>
    </row>
    <row r="597" spans="1:9" x14ac:dyDescent="0.25">
      <c r="A597" t="str">
        <f>"9123368970"</f>
        <v>9123368970</v>
      </c>
      <c r="B597" t="s">
        <v>9</v>
      </c>
      <c r="C597" t="s">
        <v>1608</v>
      </c>
      <c r="D597" t="s">
        <v>11</v>
      </c>
      <c r="E597" t="s">
        <v>1020</v>
      </c>
      <c r="F597" t="s">
        <v>1020</v>
      </c>
      <c r="G597" t="s">
        <v>1609</v>
      </c>
      <c r="H597" t="s">
        <v>1610</v>
      </c>
      <c r="I597" t="s">
        <v>1609</v>
      </c>
    </row>
    <row r="598" spans="1:9" x14ac:dyDescent="0.25">
      <c r="A598" t="str">
        <f>"9128022A0A"</f>
        <v>9128022A0A</v>
      </c>
      <c r="B598" t="s">
        <v>9</v>
      </c>
      <c r="C598" t="s">
        <v>1611</v>
      </c>
      <c r="D598" t="s">
        <v>30</v>
      </c>
      <c r="E598" t="s">
        <v>1612</v>
      </c>
      <c r="F598" t="s">
        <v>1612</v>
      </c>
      <c r="G598" t="s">
        <v>1613</v>
      </c>
      <c r="H598" t="s">
        <v>1614</v>
      </c>
      <c r="I598" t="s">
        <v>1613</v>
      </c>
    </row>
    <row r="599" spans="1:9" x14ac:dyDescent="0.25">
      <c r="A599" t="str">
        <f>"9114587B20"</f>
        <v>9114587B20</v>
      </c>
      <c r="B599" t="s">
        <v>9</v>
      </c>
      <c r="C599" t="s">
        <v>1615</v>
      </c>
      <c r="D599" t="s">
        <v>30</v>
      </c>
      <c r="E599" t="s">
        <v>1616</v>
      </c>
      <c r="F599" t="s">
        <v>1616</v>
      </c>
      <c r="G599" t="s">
        <v>1617</v>
      </c>
      <c r="H599" t="s">
        <v>1618</v>
      </c>
      <c r="I599" t="s">
        <v>1619</v>
      </c>
    </row>
    <row r="600" spans="1:9" x14ac:dyDescent="0.25">
      <c r="A600" t="str">
        <f>"91108016D3"</f>
        <v>91108016D3</v>
      </c>
      <c r="B600" t="s">
        <v>9</v>
      </c>
      <c r="C600" t="s">
        <v>1620</v>
      </c>
      <c r="D600" t="s">
        <v>30</v>
      </c>
      <c r="E600" t="s">
        <v>1621</v>
      </c>
      <c r="F600" t="s">
        <v>1621</v>
      </c>
      <c r="G600" t="s">
        <v>1622</v>
      </c>
      <c r="H600" t="s">
        <v>1623</v>
      </c>
      <c r="I600" t="s">
        <v>1624</v>
      </c>
    </row>
    <row r="601" spans="1:9" x14ac:dyDescent="0.25">
      <c r="A601" t="str">
        <f>"9161557401"</f>
        <v>9161557401</v>
      </c>
      <c r="B601" t="s">
        <v>9</v>
      </c>
      <c r="C601" t="s">
        <v>1625</v>
      </c>
      <c r="D601" t="s">
        <v>30</v>
      </c>
      <c r="E601" t="s">
        <v>1225</v>
      </c>
      <c r="F601" t="s">
        <v>1225</v>
      </c>
      <c r="G601" t="s">
        <v>667</v>
      </c>
      <c r="H601" t="s">
        <v>1626</v>
      </c>
      <c r="I601" t="s">
        <v>667</v>
      </c>
    </row>
    <row r="602" spans="1:9" x14ac:dyDescent="0.25">
      <c r="A602" t="str">
        <f>"91267754FD"</f>
        <v>91267754FD</v>
      </c>
      <c r="B602" t="s">
        <v>9</v>
      </c>
      <c r="C602" t="s">
        <v>1627</v>
      </c>
      <c r="D602" t="s">
        <v>30</v>
      </c>
      <c r="E602" t="s">
        <v>45</v>
      </c>
      <c r="F602" t="s">
        <v>45</v>
      </c>
      <c r="G602" t="s">
        <v>46</v>
      </c>
      <c r="H602" t="s">
        <v>1628</v>
      </c>
      <c r="I602" t="s">
        <v>1629</v>
      </c>
    </row>
    <row r="603" spans="1:9" x14ac:dyDescent="0.25">
      <c r="A603" t="str">
        <f>"9124755209"</f>
        <v>9124755209</v>
      </c>
      <c r="B603" t="s">
        <v>9</v>
      </c>
      <c r="C603" t="s">
        <v>1630</v>
      </c>
      <c r="D603" t="s">
        <v>30</v>
      </c>
      <c r="E603" t="s">
        <v>1631</v>
      </c>
      <c r="F603" t="s">
        <v>1631</v>
      </c>
      <c r="G603" t="s">
        <v>493</v>
      </c>
      <c r="H603" t="s">
        <v>1632</v>
      </c>
      <c r="I603" t="s">
        <v>493</v>
      </c>
    </row>
    <row r="604" spans="1:9" x14ac:dyDescent="0.25">
      <c r="A604" t="str">
        <f>"9094280544"</f>
        <v>9094280544</v>
      </c>
      <c r="B604" t="s">
        <v>9</v>
      </c>
      <c r="C604" t="s">
        <v>1633</v>
      </c>
      <c r="D604" t="s">
        <v>30</v>
      </c>
      <c r="E604" t="s">
        <v>1634</v>
      </c>
      <c r="F604" t="s">
        <v>1634</v>
      </c>
      <c r="G604" t="s">
        <v>1635</v>
      </c>
      <c r="H604" t="s">
        <v>1636</v>
      </c>
      <c r="I604" t="s">
        <v>1635</v>
      </c>
    </row>
    <row r="605" spans="1:9" x14ac:dyDescent="0.25">
      <c r="A605" t="str">
        <f>"8926990132"</f>
        <v>8926990132</v>
      </c>
      <c r="B605" t="s">
        <v>9</v>
      </c>
      <c r="C605" t="s">
        <v>1637</v>
      </c>
      <c r="D605" t="s">
        <v>30</v>
      </c>
      <c r="E605" t="s">
        <v>737</v>
      </c>
      <c r="F605" t="s">
        <v>737</v>
      </c>
      <c r="G605" t="s">
        <v>1638</v>
      </c>
      <c r="H605" t="s">
        <v>1639</v>
      </c>
      <c r="I605" t="s">
        <v>1638</v>
      </c>
    </row>
    <row r="606" spans="1:9" x14ac:dyDescent="0.25">
      <c r="A606" t="str">
        <f>"9103937679"</f>
        <v>9103937679</v>
      </c>
      <c r="B606" t="s">
        <v>9</v>
      </c>
      <c r="C606" t="s">
        <v>1640</v>
      </c>
      <c r="D606" t="s">
        <v>11</v>
      </c>
      <c r="E606" t="s">
        <v>160</v>
      </c>
      <c r="F606" t="s">
        <v>160</v>
      </c>
      <c r="G606" t="s">
        <v>1641</v>
      </c>
      <c r="H606" t="s">
        <v>1642</v>
      </c>
      <c r="I606" t="s">
        <v>1641</v>
      </c>
    </row>
    <row r="607" spans="1:9" x14ac:dyDescent="0.25">
      <c r="A607" t="str">
        <f>"9130955E6C"</f>
        <v>9130955E6C</v>
      </c>
      <c r="B607" t="s">
        <v>9</v>
      </c>
      <c r="C607" t="s">
        <v>1643</v>
      </c>
      <c r="D607" t="s">
        <v>30</v>
      </c>
      <c r="E607" t="s">
        <v>731</v>
      </c>
      <c r="F607" t="s">
        <v>731</v>
      </c>
      <c r="G607" t="s">
        <v>1644</v>
      </c>
      <c r="H607" t="s">
        <v>1645</v>
      </c>
      <c r="I607" t="s">
        <v>1644</v>
      </c>
    </row>
    <row r="608" spans="1:9" x14ac:dyDescent="0.25">
      <c r="A608" t="str">
        <f>"9105762882"</f>
        <v>9105762882</v>
      </c>
      <c r="B608" t="s">
        <v>9</v>
      </c>
      <c r="C608" t="s">
        <v>1646</v>
      </c>
      <c r="D608" t="s">
        <v>30</v>
      </c>
      <c r="E608" t="s">
        <v>774</v>
      </c>
      <c r="F608" t="s">
        <v>774</v>
      </c>
      <c r="G608" t="s">
        <v>1647</v>
      </c>
      <c r="H608" t="s">
        <v>1648</v>
      </c>
    </row>
    <row r="609" spans="1:9" x14ac:dyDescent="0.25">
      <c r="A609" t="str">
        <f>"91048231A1"</f>
        <v>91048231A1</v>
      </c>
      <c r="B609" t="s">
        <v>9</v>
      </c>
      <c r="C609" t="s">
        <v>1649</v>
      </c>
      <c r="D609" t="s">
        <v>30</v>
      </c>
      <c r="E609" t="s">
        <v>523</v>
      </c>
      <c r="F609" t="s">
        <v>523</v>
      </c>
      <c r="G609" t="s">
        <v>1116</v>
      </c>
      <c r="H609" t="s">
        <v>1650</v>
      </c>
      <c r="I609" t="s">
        <v>1116</v>
      </c>
    </row>
    <row r="610" spans="1:9" x14ac:dyDescent="0.25">
      <c r="A610" t="str">
        <f>"9095752400"</f>
        <v>9095752400</v>
      </c>
      <c r="B610" t="s">
        <v>9</v>
      </c>
      <c r="C610" t="s">
        <v>1651</v>
      </c>
      <c r="D610" t="s">
        <v>30</v>
      </c>
      <c r="E610" t="s">
        <v>1387</v>
      </c>
      <c r="F610" t="s">
        <v>1387</v>
      </c>
      <c r="G610" t="s">
        <v>1652</v>
      </c>
      <c r="H610" t="s">
        <v>1653</v>
      </c>
      <c r="I610" t="s">
        <v>1652</v>
      </c>
    </row>
    <row r="611" spans="1:9" x14ac:dyDescent="0.25">
      <c r="A611" t="str">
        <f>"9103487320"</f>
        <v>9103487320</v>
      </c>
      <c r="B611" t="s">
        <v>9</v>
      </c>
      <c r="C611" t="s">
        <v>1654</v>
      </c>
      <c r="D611" t="s">
        <v>30</v>
      </c>
      <c r="E611" t="s">
        <v>1655</v>
      </c>
      <c r="F611" t="s">
        <v>1655</v>
      </c>
      <c r="G611" t="s">
        <v>1656</v>
      </c>
      <c r="H611" t="s">
        <v>1657</v>
      </c>
      <c r="I611" t="s">
        <v>1656</v>
      </c>
    </row>
    <row r="612" spans="1:9" x14ac:dyDescent="0.25">
      <c r="A612" t="str">
        <f>"90932481A3"</f>
        <v>90932481A3</v>
      </c>
      <c r="B612" t="s">
        <v>9</v>
      </c>
      <c r="C612" t="s">
        <v>1658</v>
      </c>
      <c r="D612" t="s">
        <v>30</v>
      </c>
      <c r="E612" t="s">
        <v>1128</v>
      </c>
      <c r="F612" t="s">
        <v>1128</v>
      </c>
      <c r="G612" t="s">
        <v>1659</v>
      </c>
      <c r="H612" t="s">
        <v>1660</v>
      </c>
    </row>
    <row r="613" spans="1:9" x14ac:dyDescent="0.25">
      <c r="A613" t="str">
        <f>"9157309272"</f>
        <v>9157309272</v>
      </c>
      <c r="B613" t="s">
        <v>9</v>
      </c>
      <c r="C613" t="s">
        <v>1661</v>
      </c>
      <c r="D613" t="s">
        <v>30</v>
      </c>
      <c r="E613" t="s">
        <v>1662</v>
      </c>
      <c r="F613" t="s">
        <v>1662</v>
      </c>
      <c r="G613" t="s">
        <v>1663</v>
      </c>
      <c r="H613" t="s">
        <v>1664</v>
      </c>
      <c r="I613" t="s">
        <v>1663</v>
      </c>
    </row>
    <row r="614" spans="1:9" x14ac:dyDescent="0.25">
      <c r="A614" t="str">
        <f>"9386787DAB"</f>
        <v>9386787DAB</v>
      </c>
      <c r="B614" t="s">
        <v>9</v>
      </c>
      <c r="C614" t="s">
        <v>1665</v>
      </c>
      <c r="D614" t="s">
        <v>30</v>
      </c>
      <c r="E614" t="s">
        <v>1666</v>
      </c>
      <c r="F614" t="s">
        <v>1666</v>
      </c>
      <c r="G614" t="s">
        <v>1194</v>
      </c>
      <c r="H614" t="s">
        <v>1667</v>
      </c>
      <c r="I614" t="s">
        <v>1668</v>
      </c>
    </row>
    <row r="615" spans="1:9" x14ac:dyDescent="0.25">
      <c r="A615" t="str">
        <f>"9099605F95"</f>
        <v>9099605F95</v>
      </c>
      <c r="B615" t="s">
        <v>9</v>
      </c>
      <c r="C615" t="s">
        <v>1669</v>
      </c>
      <c r="D615" t="s">
        <v>30</v>
      </c>
      <c r="E615" t="s">
        <v>755</v>
      </c>
      <c r="F615" t="s">
        <v>755</v>
      </c>
      <c r="G615" t="s">
        <v>1670</v>
      </c>
      <c r="H615" t="s">
        <v>1671</v>
      </c>
      <c r="I615" t="s">
        <v>1670</v>
      </c>
    </row>
    <row r="616" spans="1:9" x14ac:dyDescent="0.25">
      <c r="A616" t="str">
        <f>"9091779560"</f>
        <v>9091779560</v>
      </c>
      <c r="B616" t="s">
        <v>9</v>
      </c>
      <c r="C616" t="s">
        <v>1672</v>
      </c>
      <c r="D616" t="s">
        <v>30</v>
      </c>
      <c r="E616" t="s">
        <v>1673</v>
      </c>
      <c r="F616" t="s">
        <v>1673</v>
      </c>
      <c r="G616" t="s">
        <v>1674</v>
      </c>
      <c r="H616" t="s">
        <v>1675</v>
      </c>
      <c r="I616" t="s">
        <v>1674</v>
      </c>
    </row>
    <row r="617" spans="1:9" x14ac:dyDescent="0.25">
      <c r="A617" t="str">
        <f>"909179850E"</f>
        <v>909179850E</v>
      </c>
      <c r="B617" t="s">
        <v>9</v>
      </c>
      <c r="C617" t="s">
        <v>1676</v>
      </c>
      <c r="D617" t="s">
        <v>30</v>
      </c>
      <c r="E617" t="s">
        <v>1387</v>
      </c>
      <c r="F617" t="s">
        <v>1387</v>
      </c>
      <c r="G617" t="s">
        <v>1677</v>
      </c>
      <c r="H617" t="s">
        <v>1678</v>
      </c>
      <c r="I617" t="s">
        <v>1677</v>
      </c>
    </row>
    <row r="618" spans="1:9" x14ac:dyDescent="0.25">
      <c r="A618" t="str">
        <f>"9099319395"</f>
        <v>9099319395</v>
      </c>
      <c r="B618" t="s">
        <v>9</v>
      </c>
      <c r="C618" t="s">
        <v>1679</v>
      </c>
      <c r="D618" t="s">
        <v>30</v>
      </c>
      <c r="E618" t="s">
        <v>152</v>
      </c>
      <c r="F618" t="s">
        <v>152</v>
      </c>
      <c r="G618" t="s">
        <v>1680</v>
      </c>
      <c r="H618" t="s">
        <v>1681</v>
      </c>
      <c r="I618" t="s">
        <v>1680</v>
      </c>
    </row>
    <row r="619" spans="1:9" x14ac:dyDescent="0.25">
      <c r="A619" t="str">
        <f>"9099451084"</f>
        <v>9099451084</v>
      </c>
      <c r="B619" t="s">
        <v>9</v>
      </c>
      <c r="C619" t="s">
        <v>1682</v>
      </c>
      <c r="D619" t="s">
        <v>11</v>
      </c>
      <c r="E619" t="s">
        <v>12</v>
      </c>
      <c r="F619" t="s">
        <v>12</v>
      </c>
      <c r="G619" t="s">
        <v>1683</v>
      </c>
      <c r="H619" t="s">
        <v>1684</v>
      </c>
      <c r="I619" t="s">
        <v>1683</v>
      </c>
    </row>
    <row r="620" spans="1:9" x14ac:dyDescent="0.25">
      <c r="A620" t="str">
        <f>"9089089983"</f>
        <v>9089089983</v>
      </c>
      <c r="B620" t="s">
        <v>9</v>
      </c>
      <c r="C620" t="s">
        <v>1685</v>
      </c>
      <c r="D620" t="s">
        <v>30</v>
      </c>
      <c r="E620" t="s">
        <v>1686</v>
      </c>
      <c r="F620" t="s">
        <v>1686</v>
      </c>
      <c r="G620" t="s">
        <v>1687</v>
      </c>
      <c r="H620" t="s">
        <v>1688</v>
      </c>
      <c r="I620" t="s">
        <v>1687</v>
      </c>
    </row>
    <row r="621" spans="1:9" x14ac:dyDescent="0.25">
      <c r="A621" t="str">
        <f>"9095722B3C"</f>
        <v>9095722B3C</v>
      </c>
      <c r="B621" t="s">
        <v>9</v>
      </c>
      <c r="C621" t="s">
        <v>1689</v>
      </c>
      <c r="D621" t="s">
        <v>30</v>
      </c>
      <c r="E621" t="s">
        <v>1690</v>
      </c>
      <c r="F621" t="s">
        <v>1690</v>
      </c>
      <c r="G621" t="s">
        <v>1691</v>
      </c>
      <c r="H621" t="s">
        <v>1692</v>
      </c>
      <c r="I621" t="s">
        <v>1691</v>
      </c>
    </row>
    <row r="622" spans="1:9" x14ac:dyDescent="0.25">
      <c r="A622" t="str">
        <f>"91349005F3"</f>
        <v>91349005F3</v>
      </c>
      <c r="B622" t="s">
        <v>9</v>
      </c>
      <c r="C622" t="s">
        <v>1693</v>
      </c>
      <c r="D622" t="s">
        <v>30</v>
      </c>
      <c r="E622" t="s">
        <v>1101</v>
      </c>
      <c r="F622" t="s">
        <v>1101</v>
      </c>
      <c r="G622" t="s">
        <v>1694</v>
      </c>
      <c r="H622" t="s">
        <v>1695</v>
      </c>
      <c r="I622" t="s">
        <v>1694</v>
      </c>
    </row>
    <row r="623" spans="1:9" x14ac:dyDescent="0.25">
      <c r="A623" t="str">
        <f>"9093096433"</f>
        <v>9093096433</v>
      </c>
      <c r="B623" t="s">
        <v>9</v>
      </c>
      <c r="C623" t="s">
        <v>1696</v>
      </c>
      <c r="D623" t="s">
        <v>11</v>
      </c>
      <c r="E623" t="s">
        <v>867</v>
      </c>
      <c r="F623" t="s">
        <v>867</v>
      </c>
      <c r="G623" t="s">
        <v>1697</v>
      </c>
      <c r="H623" t="s">
        <v>1698</v>
      </c>
      <c r="I623" t="s">
        <v>1697</v>
      </c>
    </row>
    <row r="624" spans="1:9" x14ac:dyDescent="0.25">
      <c r="A624" t="str">
        <f>"90916055C9"</f>
        <v>90916055C9</v>
      </c>
      <c r="B624" t="s">
        <v>9</v>
      </c>
      <c r="C624" t="s">
        <v>1699</v>
      </c>
      <c r="D624" t="s">
        <v>11</v>
      </c>
      <c r="E624" t="s">
        <v>160</v>
      </c>
      <c r="F624" t="s">
        <v>160</v>
      </c>
      <c r="G624" t="s">
        <v>1700</v>
      </c>
      <c r="H624" t="s">
        <v>1701</v>
      </c>
      <c r="I624" t="s">
        <v>1700</v>
      </c>
    </row>
    <row r="625" spans="1:9" x14ac:dyDescent="0.25">
      <c r="A625" t="str">
        <f>"9091499E4D"</f>
        <v>9091499E4D</v>
      </c>
      <c r="B625" t="s">
        <v>9</v>
      </c>
      <c r="C625" t="s">
        <v>1702</v>
      </c>
      <c r="D625" t="s">
        <v>11</v>
      </c>
      <c r="E625" t="s">
        <v>160</v>
      </c>
      <c r="F625" t="s">
        <v>160</v>
      </c>
      <c r="G625" t="s">
        <v>1703</v>
      </c>
      <c r="H625" t="s">
        <v>1701</v>
      </c>
      <c r="I625" t="s">
        <v>1703</v>
      </c>
    </row>
    <row r="626" spans="1:9" x14ac:dyDescent="0.25">
      <c r="A626" t="str">
        <f>"9091533A5D"</f>
        <v>9091533A5D</v>
      </c>
      <c r="B626" t="s">
        <v>9</v>
      </c>
      <c r="C626" t="s">
        <v>1704</v>
      </c>
      <c r="D626" t="s">
        <v>11</v>
      </c>
      <c r="E626" t="s">
        <v>160</v>
      </c>
      <c r="F626" t="s">
        <v>160</v>
      </c>
      <c r="G626" t="s">
        <v>1705</v>
      </c>
      <c r="H626" t="s">
        <v>1706</v>
      </c>
      <c r="I626" t="s">
        <v>1705</v>
      </c>
    </row>
    <row r="627" spans="1:9" x14ac:dyDescent="0.25">
      <c r="A627" t="str">
        <f>"9085676904"</f>
        <v>9085676904</v>
      </c>
      <c r="B627" t="s">
        <v>9</v>
      </c>
      <c r="C627" t="s">
        <v>1707</v>
      </c>
      <c r="D627" t="s">
        <v>30</v>
      </c>
      <c r="E627" t="s">
        <v>1690</v>
      </c>
      <c r="F627" t="s">
        <v>1690</v>
      </c>
      <c r="G627" t="s">
        <v>1708</v>
      </c>
      <c r="H627" t="s">
        <v>1709</v>
      </c>
      <c r="I627" t="s">
        <v>1708</v>
      </c>
    </row>
    <row r="628" spans="1:9" x14ac:dyDescent="0.25">
      <c r="A628" t="str">
        <f>"9091636F5B"</f>
        <v>9091636F5B</v>
      </c>
      <c r="B628" t="s">
        <v>9</v>
      </c>
      <c r="C628" t="s">
        <v>1710</v>
      </c>
      <c r="D628" t="s">
        <v>11</v>
      </c>
      <c r="E628" t="s">
        <v>160</v>
      </c>
      <c r="F628" t="s">
        <v>160</v>
      </c>
      <c r="G628" t="s">
        <v>1711</v>
      </c>
      <c r="H628" t="s">
        <v>1712</v>
      </c>
    </row>
    <row r="629" spans="1:9" x14ac:dyDescent="0.25">
      <c r="A629" t="str">
        <f>"9088116692"</f>
        <v>9088116692</v>
      </c>
      <c r="B629" t="s">
        <v>9</v>
      </c>
      <c r="C629" t="s">
        <v>1713</v>
      </c>
      <c r="D629" t="s">
        <v>30</v>
      </c>
      <c r="E629" t="s">
        <v>152</v>
      </c>
      <c r="F629" t="s">
        <v>152</v>
      </c>
      <c r="G629" t="s">
        <v>1714</v>
      </c>
      <c r="H629" t="s">
        <v>1715</v>
      </c>
      <c r="I629" t="s">
        <v>1714</v>
      </c>
    </row>
    <row r="630" spans="1:9" x14ac:dyDescent="0.25">
      <c r="A630" t="str">
        <f>"9099383864"</f>
        <v>9099383864</v>
      </c>
      <c r="B630" t="s">
        <v>9</v>
      </c>
      <c r="C630" t="s">
        <v>1716</v>
      </c>
      <c r="D630" t="s">
        <v>30</v>
      </c>
      <c r="E630" t="s">
        <v>814</v>
      </c>
      <c r="F630" t="s">
        <v>814</v>
      </c>
      <c r="G630" t="s">
        <v>667</v>
      </c>
      <c r="H630" t="s">
        <v>1717</v>
      </c>
      <c r="I630" t="s">
        <v>667</v>
      </c>
    </row>
    <row r="631" spans="1:9" x14ac:dyDescent="0.25">
      <c r="A631" t="str">
        <f>"9078109489"</f>
        <v>9078109489</v>
      </c>
      <c r="B631" t="s">
        <v>9</v>
      </c>
      <c r="C631" t="s">
        <v>1718</v>
      </c>
      <c r="D631" t="s">
        <v>11</v>
      </c>
      <c r="E631" t="s">
        <v>160</v>
      </c>
      <c r="F631" t="s">
        <v>160</v>
      </c>
      <c r="G631" t="s">
        <v>1719</v>
      </c>
      <c r="H631" t="s">
        <v>1720</v>
      </c>
      <c r="I631" t="s">
        <v>1719</v>
      </c>
    </row>
    <row r="632" spans="1:9" x14ac:dyDescent="0.25">
      <c r="A632" t="str">
        <f>"90480341DD"</f>
        <v>90480341DD</v>
      </c>
      <c r="B632" t="s">
        <v>9</v>
      </c>
      <c r="C632" t="s">
        <v>1721</v>
      </c>
      <c r="D632" t="s">
        <v>30</v>
      </c>
      <c r="E632" t="s">
        <v>1722</v>
      </c>
      <c r="F632" t="s">
        <v>1722</v>
      </c>
      <c r="G632" t="s">
        <v>1723</v>
      </c>
      <c r="H632" t="s">
        <v>1724</v>
      </c>
      <c r="I632" t="s">
        <v>1725</v>
      </c>
    </row>
    <row r="633" spans="1:9" x14ac:dyDescent="0.25">
      <c r="A633" t="str">
        <f>"9081084B93"</f>
        <v>9081084B93</v>
      </c>
      <c r="B633" t="s">
        <v>9</v>
      </c>
      <c r="C633" t="s">
        <v>1726</v>
      </c>
      <c r="D633" t="s">
        <v>30</v>
      </c>
      <c r="E633" t="s">
        <v>867</v>
      </c>
      <c r="F633" t="s">
        <v>867</v>
      </c>
      <c r="G633" t="s">
        <v>1727</v>
      </c>
      <c r="H633" t="s">
        <v>1728</v>
      </c>
      <c r="I633" t="s">
        <v>1727</v>
      </c>
    </row>
    <row r="634" spans="1:9" x14ac:dyDescent="0.25">
      <c r="A634" t="str">
        <f>"908106296C"</f>
        <v>908106296C</v>
      </c>
      <c r="B634" t="s">
        <v>9</v>
      </c>
      <c r="C634" t="s">
        <v>1729</v>
      </c>
      <c r="D634" t="s">
        <v>30</v>
      </c>
      <c r="E634" t="s">
        <v>867</v>
      </c>
      <c r="F634" t="s">
        <v>867</v>
      </c>
      <c r="G634" t="s">
        <v>1730</v>
      </c>
      <c r="H634" t="s">
        <v>1731</v>
      </c>
    </row>
    <row r="635" spans="1:9" x14ac:dyDescent="0.25">
      <c r="A635" t="str">
        <f>"906806217E"</f>
        <v>906806217E</v>
      </c>
      <c r="B635" t="s">
        <v>9</v>
      </c>
      <c r="C635" t="s">
        <v>1732</v>
      </c>
      <c r="D635" t="s">
        <v>11</v>
      </c>
      <c r="E635" t="s">
        <v>1733</v>
      </c>
      <c r="F635" t="s">
        <v>1733</v>
      </c>
      <c r="G635" t="s">
        <v>1734</v>
      </c>
      <c r="H635" t="s">
        <v>1735</v>
      </c>
    </row>
    <row r="636" spans="1:9" x14ac:dyDescent="0.25">
      <c r="A636" t="str">
        <f>"94440325BF"</f>
        <v>94440325BF</v>
      </c>
      <c r="B636" t="s">
        <v>9</v>
      </c>
      <c r="C636" t="s">
        <v>1736</v>
      </c>
      <c r="D636" t="s">
        <v>11</v>
      </c>
      <c r="E636" t="s">
        <v>101</v>
      </c>
      <c r="F636" t="s">
        <v>101</v>
      </c>
      <c r="G636" t="s">
        <v>1737</v>
      </c>
      <c r="H636" t="s">
        <v>1738</v>
      </c>
      <c r="I636" t="s">
        <v>1737</v>
      </c>
    </row>
    <row r="637" spans="1:9" x14ac:dyDescent="0.25">
      <c r="A637" t="str">
        <f>"9012860F58"</f>
        <v>9012860F58</v>
      </c>
      <c r="B637" t="s">
        <v>9</v>
      </c>
      <c r="C637" t="s">
        <v>1739</v>
      </c>
      <c r="D637" t="s">
        <v>30</v>
      </c>
      <c r="E637" t="s">
        <v>101</v>
      </c>
      <c r="F637" t="s">
        <v>101</v>
      </c>
      <c r="G637" t="s">
        <v>1740</v>
      </c>
      <c r="H637" t="s">
        <v>1741</v>
      </c>
    </row>
    <row r="638" spans="1:9" x14ac:dyDescent="0.25">
      <c r="A638" t="str">
        <f>"9069641884"</f>
        <v>9069641884</v>
      </c>
      <c r="B638" t="s">
        <v>9</v>
      </c>
      <c r="C638" t="s">
        <v>1742</v>
      </c>
      <c r="D638" t="s">
        <v>30</v>
      </c>
      <c r="E638" t="s">
        <v>244</v>
      </c>
      <c r="F638" t="s">
        <v>244</v>
      </c>
      <c r="G638" t="s">
        <v>1743</v>
      </c>
      <c r="H638" t="s">
        <v>1744</v>
      </c>
      <c r="I638" t="s">
        <v>1745</v>
      </c>
    </row>
    <row r="639" spans="1:9" x14ac:dyDescent="0.25">
      <c r="A639" t="str">
        <f>"9067410770"</f>
        <v>9067410770</v>
      </c>
      <c r="B639" t="s">
        <v>9</v>
      </c>
      <c r="C639" t="s">
        <v>1746</v>
      </c>
      <c r="D639" t="s">
        <v>30</v>
      </c>
      <c r="E639" t="s">
        <v>1747</v>
      </c>
      <c r="F639" t="s">
        <v>1747</v>
      </c>
      <c r="G639" t="s">
        <v>1748</v>
      </c>
      <c r="H639" t="s">
        <v>1749</v>
      </c>
      <c r="I639" t="s">
        <v>1750</v>
      </c>
    </row>
    <row r="640" spans="1:9" x14ac:dyDescent="0.25">
      <c r="A640" t="str">
        <f>"9068971F9B"</f>
        <v>9068971F9B</v>
      </c>
      <c r="B640" t="s">
        <v>9</v>
      </c>
      <c r="C640" t="s">
        <v>1751</v>
      </c>
      <c r="D640" t="s">
        <v>30</v>
      </c>
      <c r="E640" t="s">
        <v>1752</v>
      </c>
      <c r="F640" t="s">
        <v>1752</v>
      </c>
      <c r="G640" t="s">
        <v>1753</v>
      </c>
      <c r="H640" t="s">
        <v>1754</v>
      </c>
      <c r="I640" t="s">
        <v>1753</v>
      </c>
    </row>
    <row r="641" spans="1:9" x14ac:dyDescent="0.25">
      <c r="A641" t="str">
        <f>"90687400FF"</f>
        <v>90687400FF</v>
      </c>
      <c r="B641" t="s">
        <v>9</v>
      </c>
      <c r="C641" t="s">
        <v>1755</v>
      </c>
      <c r="D641" t="s">
        <v>30</v>
      </c>
      <c r="E641" t="s">
        <v>529</v>
      </c>
      <c r="F641" t="s">
        <v>529</v>
      </c>
      <c r="G641" t="s">
        <v>1756</v>
      </c>
      <c r="H641" t="s">
        <v>1757</v>
      </c>
      <c r="I641" t="s">
        <v>1756</v>
      </c>
    </row>
    <row r="642" spans="1:9" x14ac:dyDescent="0.25">
      <c r="A642" t="str">
        <f>"90692906DD"</f>
        <v>90692906DD</v>
      </c>
      <c r="B642" t="s">
        <v>9</v>
      </c>
      <c r="C642" t="s">
        <v>1758</v>
      </c>
      <c r="D642" t="s">
        <v>30</v>
      </c>
      <c r="E642" t="s">
        <v>1759</v>
      </c>
      <c r="F642" t="s">
        <v>1759</v>
      </c>
      <c r="G642" t="s">
        <v>1760</v>
      </c>
      <c r="H642" t="s">
        <v>1761</v>
      </c>
      <c r="I642" t="s">
        <v>1760</v>
      </c>
    </row>
    <row r="643" spans="1:9" x14ac:dyDescent="0.25">
      <c r="A643" t="str">
        <f>"9065811FE4"</f>
        <v>9065811FE4</v>
      </c>
      <c r="B643" t="s">
        <v>9</v>
      </c>
      <c r="C643" t="s">
        <v>1762</v>
      </c>
      <c r="D643" t="s">
        <v>30</v>
      </c>
      <c r="E643" t="s">
        <v>1763</v>
      </c>
      <c r="F643" t="s">
        <v>1763</v>
      </c>
      <c r="G643" t="s">
        <v>1764</v>
      </c>
      <c r="H643" t="s">
        <v>1765</v>
      </c>
      <c r="I643" t="s">
        <v>1764</v>
      </c>
    </row>
    <row r="644" spans="1:9" x14ac:dyDescent="0.25">
      <c r="A644" t="str">
        <f>"9065716183"</f>
        <v>9065716183</v>
      </c>
      <c r="B644" t="s">
        <v>9</v>
      </c>
      <c r="C644" t="s">
        <v>1766</v>
      </c>
      <c r="D644" t="s">
        <v>30</v>
      </c>
      <c r="E644" t="s">
        <v>1767</v>
      </c>
      <c r="F644" t="s">
        <v>1767</v>
      </c>
      <c r="G644" t="s">
        <v>263</v>
      </c>
      <c r="H644" t="s">
        <v>1768</v>
      </c>
      <c r="I644" t="s">
        <v>263</v>
      </c>
    </row>
    <row r="645" spans="1:9" x14ac:dyDescent="0.25">
      <c r="A645" t="str">
        <f>"90656792FA"</f>
        <v>90656792FA</v>
      </c>
      <c r="B645" t="s">
        <v>9</v>
      </c>
      <c r="C645" t="s">
        <v>1769</v>
      </c>
      <c r="D645" t="s">
        <v>30</v>
      </c>
      <c r="E645" t="s">
        <v>680</v>
      </c>
      <c r="F645" t="s">
        <v>680</v>
      </c>
      <c r="G645" t="s">
        <v>1770</v>
      </c>
      <c r="H645" t="s">
        <v>1765</v>
      </c>
      <c r="I645" t="s">
        <v>1770</v>
      </c>
    </row>
    <row r="646" spans="1:9" x14ac:dyDescent="0.25">
      <c r="A646" t="str">
        <f>"9066098CBC"</f>
        <v>9066098CBC</v>
      </c>
      <c r="B646" t="s">
        <v>9</v>
      </c>
      <c r="C646" t="s">
        <v>1771</v>
      </c>
      <c r="D646" t="s">
        <v>30</v>
      </c>
      <c r="E646" t="s">
        <v>1039</v>
      </c>
      <c r="F646" t="s">
        <v>1039</v>
      </c>
      <c r="G646" t="s">
        <v>496</v>
      </c>
      <c r="H646" t="s">
        <v>1772</v>
      </c>
      <c r="I646" t="s">
        <v>496</v>
      </c>
    </row>
    <row r="647" spans="1:9" x14ac:dyDescent="0.25">
      <c r="A647" t="str">
        <f>"9065227DF6"</f>
        <v>9065227DF6</v>
      </c>
      <c r="B647" t="s">
        <v>9</v>
      </c>
      <c r="C647" t="s">
        <v>1773</v>
      </c>
      <c r="D647" t="s">
        <v>30</v>
      </c>
      <c r="E647" t="s">
        <v>680</v>
      </c>
      <c r="F647" t="s">
        <v>680</v>
      </c>
      <c r="G647" t="s">
        <v>1774</v>
      </c>
      <c r="H647" t="s">
        <v>1775</v>
      </c>
      <c r="I647" t="s">
        <v>1774</v>
      </c>
    </row>
    <row r="648" spans="1:9" x14ac:dyDescent="0.25">
      <c r="A648" t="str">
        <f>"90657784AC"</f>
        <v>90657784AC</v>
      </c>
      <c r="B648" t="s">
        <v>9</v>
      </c>
      <c r="C648" t="s">
        <v>1776</v>
      </c>
      <c r="D648" t="s">
        <v>30</v>
      </c>
      <c r="E648" t="s">
        <v>152</v>
      </c>
      <c r="F648" t="s">
        <v>152</v>
      </c>
      <c r="G648" t="s">
        <v>1777</v>
      </c>
      <c r="H648" t="s">
        <v>1778</v>
      </c>
    </row>
    <row r="649" spans="1:9" x14ac:dyDescent="0.25">
      <c r="A649" t="str">
        <f>"9065849F40"</f>
        <v>9065849F40</v>
      </c>
      <c r="B649" t="s">
        <v>9</v>
      </c>
      <c r="C649" t="s">
        <v>1779</v>
      </c>
      <c r="D649" t="s">
        <v>30</v>
      </c>
      <c r="E649" t="s">
        <v>1780</v>
      </c>
      <c r="F649" t="s">
        <v>1780</v>
      </c>
      <c r="G649" t="s">
        <v>1781</v>
      </c>
      <c r="H649" t="s">
        <v>1765</v>
      </c>
      <c r="I649" t="s">
        <v>1781</v>
      </c>
    </row>
    <row r="650" spans="1:9" x14ac:dyDescent="0.25">
      <c r="A650" t="str">
        <f>"9065220831"</f>
        <v>9065220831</v>
      </c>
      <c r="B650" t="s">
        <v>9</v>
      </c>
      <c r="C650" t="s">
        <v>1782</v>
      </c>
      <c r="D650" t="s">
        <v>30</v>
      </c>
      <c r="E650" t="s">
        <v>523</v>
      </c>
      <c r="F650" t="s">
        <v>523</v>
      </c>
      <c r="G650" t="s">
        <v>1116</v>
      </c>
      <c r="H650" t="s">
        <v>1783</v>
      </c>
      <c r="I650" t="s">
        <v>1116</v>
      </c>
    </row>
    <row r="651" spans="1:9" x14ac:dyDescent="0.25">
      <c r="A651" t="str">
        <f>"9445438E01"</f>
        <v>9445438E01</v>
      </c>
      <c r="B651" t="s">
        <v>9</v>
      </c>
      <c r="C651" t="s">
        <v>1784</v>
      </c>
      <c r="D651" t="s">
        <v>11</v>
      </c>
      <c r="E651" t="s">
        <v>33</v>
      </c>
      <c r="F651" t="s">
        <v>33</v>
      </c>
      <c r="G651" t="s">
        <v>1785</v>
      </c>
      <c r="H651" t="s">
        <v>1786</v>
      </c>
      <c r="I651" t="s">
        <v>1785</v>
      </c>
    </row>
    <row r="652" spans="1:9" x14ac:dyDescent="0.25">
      <c r="A652" t="str">
        <f>"9040620BA0"</f>
        <v>9040620BA0</v>
      </c>
      <c r="B652" t="s">
        <v>9</v>
      </c>
      <c r="C652" t="s">
        <v>1787</v>
      </c>
      <c r="D652" t="s">
        <v>30</v>
      </c>
      <c r="E652" t="s">
        <v>1788</v>
      </c>
      <c r="F652" t="s">
        <v>1788</v>
      </c>
      <c r="G652" t="s">
        <v>213</v>
      </c>
      <c r="H652" t="s">
        <v>1789</v>
      </c>
      <c r="I652" t="s">
        <v>397</v>
      </c>
    </row>
    <row r="653" spans="1:9" x14ac:dyDescent="0.25">
      <c r="A653" t="str">
        <f>"9091791F44"</f>
        <v>9091791F44</v>
      </c>
      <c r="B653" t="s">
        <v>9</v>
      </c>
      <c r="C653" t="s">
        <v>1790</v>
      </c>
      <c r="D653" t="s">
        <v>30</v>
      </c>
      <c r="E653" t="s">
        <v>1387</v>
      </c>
      <c r="F653" t="s">
        <v>1387</v>
      </c>
      <c r="G653" t="s">
        <v>1791</v>
      </c>
      <c r="H653" t="s">
        <v>1792</v>
      </c>
      <c r="I653" t="s">
        <v>1791</v>
      </c>
    </row>
    <row r="654" spans="1:9" x14ac:dyDescent="0.25">
      <c r="A654" t="str">
        <f>"8966098223"</f>
        <v>8966098223</v>
      </c>
      <c r="B654" t="s">
        <v>9</v>
      </c>
      <c r="C654" t="s">
        <v>1793</v>
      </c>
      <c r="D654" t="s">
        <v>24</v>
      </c>
      <c r="E654" t="s">
        <v>630</v>
      </c>
      <c r="F654" t="s">
        <v>630</v>
      </c>
      <c r="G654" t="s">
        <v>1794</v>
      </c>
      <c r="H654" t="s">
        <v>1795</v>
      </c>
      <c r="I654" t="s">
        <v>1796</v>
      </c>
    </row>
    <row r="655" spans="1:9" x14ac:dyDescent="0.25">
      <c r="A655" t="str">
        <f>"8968885E07"</f>
        <v>8968885E07</v>
      </c>
      <c r="B655" t="s">
        <v>9</v>
      </c>
      <c r="C655" t="s">
        <v>1797</v>
      </c>
      <c r="D655" t="s">
        <v>24</v>
      </c>
      <c r="E655" t="s">
        <v>1798</v>
      </c>
      <c r="F655" t="s">
        <v>1798</v>
      </c>
      <c r="G655" t="s">
        <v>1799</v>
      </c>
      <c r="H655" t="s">
        <v>1795</v>
      </c>
      <c r="I655" t="s">
        <v>1800</v>
      </c>
    </row>
    <row r="656" spans="1:9" x14ac:dyDescent="0.25">
      <c r="A656" t="str">
        <f>"8968904DB5"</f>
        <v>8968904DB5</v>
      </c>
      <c r="B656" t="s">
        <v>9</v>
      </c>
      <c r="C656" t="s">
        <v>1801</v>
      </c>
      <c r="D656" t="s">
        <v>24</v>
      </c>
      <c r="E656" t="s">
        <v>1802</v>
      </c>
      <c r="F656" t="s">
        <v>1802</v>
      </c>
      <c r="G656" t="s">
        <v>1803</v>
      </c>
      <c r="H656" t="s">
        <v>1795</v>
      </c>
      <c r="I656" t="s">
        <v>1804</v>
      </c>
    </row>
    <row r="657" spans="1:9" x14ac:dyDescent="0.25">
      <c r="A657" t="str">
        <f>"8968866E59"</f>
        <v>8968866E59</v>
      </c>
      <c r="B657" t="s">
        <v>9</v>
      </c>
      <c r="C657" t="s">
        <v>1805</v>
      </c>
      <c r="D657" t="s">
        <v>24</v>
      </c>
      <c r="E657" t="s">
        <v>1806</v>
      </c>
      <c r="F657" t="s">
        <v>1806</v>
      </c>
      <c r="G657" t="s">
        <v>1807</v>
      </c>
      <c r="H657" t="s">
        <v>1795</v>
      </c>
      <c r="I657" t="s">
        <v>1808</v>
      </c>
    </row>
    <row r="658" spans="1:9" x14ac:dyDescent="0.25">
      <c r="A658" t="str">
        <f>"8990136EE8"</f>
        <v>8990136EE8</v>
      </c>
      <c r="B658" t="s">
        <v>9</v>
      </c>
      <c r="C658" t="s">
        <v>1809</v>
      </c>
      <c r="D658" t="s">
        <v>11</v>
      </c>
      <c r="E658" t="s">
        <v>160</v>
      </c>
      <c r="F658" t="s">
        <v>160</v>
      </c>
      <c r="G658" t="s">
        <v>1810</v>
      </c>
      <c r="H658" t="s">
        <v>1795</v>
      </c>
    </row>
    <row r="659" spans="1:9" x14ac:dyDescent="0.25">
      <c r="A659" t="str">
        <f>"9003877A58"</f>
        <v>9003877A58</v>
      </c>
      <c r="B659" t="s">
        <v>9</v>
      </c>
      <c r="C659" t="s">
        <v>1811</v>
      </c>
      <c r="D659" t="s">
        <v>30</v>
      </c>
      <c r="E659" t="s">
        <v>630</v>
      </c>
      <c r="F659" t="s">
        <v>630</v>
      </c>
      <c r="G659" t="s">
        <v>631</v>
      </c>
      <c r="H659" t="s">
        <v>1812</v>
      </c>
      <c r="I659" t="s">
        <v>631</v>
      </c>
    </row>
    <row r="660" spans="1:9" x14ac:dyDescent="0.25">
      <c r="A660" t="str">
        <f>"89906810AC"</f>
        <v>89906810AC</v>
      </c>
      <c r="B660" t="s">
        <v>9</v>
      </c>
      <c r="C660" t="s">
        <v>1813</v>
      </c>
      <c r="D660" t="s">
        <v>30</v>
      </c>
      <c r="E660" t="s">
        <v>1814</v>
      </c>
      <c r="F660" t="s">
        <v>1814</v>
      </c>
      <c r="G660" t="s">
        <v>1815</v>
      </c>
      <c r="H660" t="s">
        <v>1795</v>
      </c>
    </row>
    <row r="661" spans="1:9" x14ac:dyDescent="0.25">
      <c r="A661" t="str">
        <f>"8966076FF7"</f>
        <v>8966076FF7</v>
      </c>
      <c r="B661" t="s">
        <v>9</v>
      </c>
      <c r="C661" t="s">
        <v>1816</v>
      </c>
      <c r="D661" t="s">
        <v>24</v>
      </c>
      <c r="E661" t="s">
        <v>1798</v>
      </c>
      <c r="F661" t="s">
        <v>1798</v>
      </c>
      <c r="G661" t="s">
        <v>1817</v>
      </c>
      <c r="H661" t="s">
        <v>1795</v>
      </c>
      <c r="I661" t="s">
        <v>1818</v>
      </c>
    </row>
    <row r="662" spans="1:9" x14ac:dyDescent="0.25">
      <c r="A662" t="str">
        <f>"9022298BD5"</f>
        <v>9022298BD5</v>
      </c>
      <c r="B662" t="s">
        <v>9</v>
      </c>
      <c r="C662" t="s">
        <v>1819</v>
      </c>
      <c r="D662" t="s">
        <v>30</v>
      </c>
      <c r="E662" t="s">
        <v>1820</v>
      </c>
      <c r="F662" t="s">
        <v>1820</v>
      </c>
      <c r="G662" t="s">
        <v>1821</v>
      </c>
      <c r="H662" t="s">
        <v>1812</v>
      </c>
      <c r="I662" t="s">
        <v>1821</v>
      </c>
    </row>
    <row r="663" spans="1:9" x14ac:dyDescent="0.25">
      <c r="A663" t="str">
        <f>"9023542E69"</f>
        <v>9023542E69</v>
      </c>
      <c r="B663" t="s">
        <v>9</v>
      </c>
      <c r="C663" t="s">
        <v>1822</v>
      </c>
      <c r="D663" t="s">
        <v>30</v>
      </c>
      <c r="E663" t="s">
        <v>152</v>
      </c>
      <c r="F663" t="s">
        <v>152</v>
      </c>
      <c r="G663" t="s">
        <v>167</v>
      </c>
      <c r="H663" t="s">
        <v>1823</v>
      </c>
      <c r="I663" t="s">
        <v>167</v>
      </c>
    </row>
    <row r="664" spans="1:9" x14ac:dyDescent="0.25">
      <c r="A664" t="str">
        <f>"90924639D3"</f>
        <v>90924639D3</v>
      </c>
      <c r="B664" t="s">
        <v>9</v>
      </c>
      <c r="C664" t="s">
        <v>1824</v>
      </c>
      <c r="D664" t="s">
        <v>30</v>
      </c>
      <c r="E664" t="s">
        <v>1825</v>
      </c>
      <c r="F664" t="s">
        <v>1825</v>
      </c>
      <c r="G664" t="s">
        <v>1826</v>
      </c>
      <c r="H664" t="s">
        <v>1792</v>
      </c>
      <c r="I664" t="s">
        <v>1826</v>
      </c>
    </row>
    <row r="665" spans="1:9" x14ac:dyDescent="0.25">
      <c r="A665" t="str">
        <f>"9048603769"</f>
        <v>9048603769</v>
      </c>
      <c r="B665" t="s">
        <v>9</v>
      </c>
      <c r="C665" t="s">
        <v>1827</v>
      </c>
      <c r="D665" t="s">
        <v>30</v>
      </c>
      <c r="E665" t="s">
        <v>1828</v>
      </c>
      <c r="F665" t="s">
        <v>1828</v>
      </c>
      <c r="G665" t="s">
        <v>1829</v>
      </c>
      <c r="H665" t="s">
        <v>1792</v>
      </c>
      <c r="I665" t="s">
        <v>1829</v>
      </c>
    </row>
    <row r="666" spans="1:9" x14ac:dyDescent="0.25">
      <c r="A666" t="str">
        <f>"89038086CC"</f>
        <v>89038086CC</v>
      </c>
      <c r="B666" t="s">
        <v>9</v>
      </c>
      <c r="C666" t="s">
        <v>1830</v>
      </c>
      <c r="D666" t="s">
        <v>30</v>
      </c>
      <c r="E666" t="s">
        <v>188</v>
      </c>
      <c r="F666" t="s">
        <v>188</v>
      </c>
      <c r="G666" t="s">
        <v>1831</v>
      </c>
      <c r="H666" t="s">
        <v>1832</v>
      </c>
      <c r="I666" t="s">
        <v>1831</v>
      </c>
    </row>
    <row r="667" spans="1:9" x14ac:dyDescent="0.25">
      <c r="A667" t="str">
        <f>"90477539F7"</f>
        <v>90477539F7</v>
      </c>
      <c r="B667" t="s">
        <v>9</v>
      </c>
      <c r="C667" t="s">
        <v>1833</v>
      </c>
      <c r="D667" t="s">
        <v>30</v>
      </c>
      <c r="E667" t="s">
        <v>233</v>
      </c>
      <c r="F667" t="s">
        <v>233</v>
      </c>
      <c r="G667" t="s">
        <v>1834</v>
      </c>
      <c r="H667" t="s">
        <v>1835</v>
      </c>
      <c r="I667" t="s">
        <v>397</v>
      </c>
    </row>
    <row r="668" spans="1:9" x14ac:dyDescent="0.25">
      <c r="A668" t="str">
        <f>"9041749F4D"</f>
        <v>9041749F4D</v>
      </c>
      <c r="B668" t="s">
        <v>9</v>
      </c>
      <c r="C668" t="s">
        <v>1836</v>
      </c>
      <c r="D668" t="s">
        <v>30</v>
      </c>
      <c r="E668" t="s">
        <v>1837</v>
      </c>
      <c r="F668" t="s">
        <v>1837</v>
      </c>
      <c r="G668" t="s">
        <v>1838</v>
      </c>
      <c r="H668" t="s">
        <v>1835</v>
      </c>
      <c r="I668" t="s">
        <v>397</v>
      </c>
    </row>
    <row r="669" spans="1:9" x14ac:dyDescent="0.25">
      <c r="A669" t="str">
        <f>"90474965E3"</f>
        <v>90474965E3</v>
      </c>
      <c r="B669" t="s">
        <v>9</v>
      </c>
      <c r="C669" t="s">
        <v>1839</v>
      </c>
      <c r="D669" t="s">
        <v>30</v>
      </c>
      <c r="E669" t="s">
        <v>1465</v>
      </c>
      <c r="F669" t="s">
        <v>1465</v>
      </c>
      <c r="G669" t="s">
        <v>1840</v>
      </c>
      <c r="H669" t="s">
        <v>1835</v>
      </c>
      <c r="I669" t="s">
        <v>397</v>
      </c>
    </row>
    <row r="670" spans="1:9" x14ac:dyDescent="0.25">
      <c r="A670" t="str">
        <f>"90220742FE"</f>
        <v>90220742FE</v>
      </c>
      <c r="B670" t="s">
        <v>9</v>
      </c>
      <c r="C670" t="s">
        <v>1841</v>
      </c>
      <c r="D670" t="s">
        <v>30</v>
      </c>
      <c r="E670" t="s">
        <v>1842</v>
      </c>
      <c r="F670" t="s">
        <v>1842</v>
      </c>
      <c r="G670" t="s">
        <v>1843</v>
      </c>
      <c r="H670" t="s">
        <v>1844</v>
      </c>
      <c r="I670" t="s">
        <v>397</v>
      </c>
    </row>
    <row r="671" spans="1:9" x14ac:dyDescent="0.25">
      <c r="A671" t="str">
        <f>"9038435085"</f>
        <v>9038435085</v>
      </c>
      <c r="B671" t="s">
        <v>9</v>
      </c>
      <c r="C671" t="s">
        <v>1845</v>
      </c>
      <c r="D671" t="s">
        <v>30</v>
      </c>
      <c r="E671" t="s">
        <v>1846</v>
      </c>
      <c r="F671" t="s">
        <v>1846</v>
      </c>
      <c r="G671" t="s">
        <v>1847</v>
      </c>
      <c r="H671" t="s">
        <v>1835</v>
      </c>
      <c r="I671" t="s">
        <v>397</v>
      </c>
    </row>
    <row r="672" spans="1:9" x14ac:dyDescent="0.25">
      <c r="A672" t="str">
        <f>"9048594FF9"</f>
        <v>9048594FF9</v>
      </c>
      <c r="B672" t="s">
        <v>9</v>
      </c>
      <c r="C672" t="s">
        <v>1848</v>
      </c>
      <c r="D672" t="s">
        <v>30</v>
      </c>
      <c r="E672" t="s">
        <v>101</v>
      </c>
      <c r="F672" t="s">
        <v>101</v>
      </c>
      <c r="G672" t="s">
        <v>1849</v>
      </c>
      <c r="H672" t="s">
        <v>1835</v>
      </c>
      <c r="I672" t="s">
        <v>397</v>
      </c>
    </row>
    <row r="673" spans="1:9" x14ac:dyDescent="0.25">
      <c r="A673" t="str">
        <f>"9042428FA1"</f>
        <v>9042428FA1</v>
      </c>
      <c r="B673" t="s">
        <v>9</v>
      </c>
      <c r="C673" t="s">
        <v>1850</v>
      </c>
      <c r="D673" t="s">
        <v>30</v>
      </c>
      <c r="E673" t="s">
        <v>355</v>
      </c>
      <c r="F673" t="s">
        <v>355</v>
      </c>
      <c r="G673" t="s">
        <v>669</v>
      </c>
      <c r="H673" t="s">
        <v>1835</v>
      </c>
      <c r="I673" t="s">
        <v>397</v>
      </c>
    </row>
    <row r="674" spans="1:9" x14ac:dyDescent="0.25">
      <c r="A674" t="str">
        <f>"9042462BB1"</f>
        <v>9042462BB1</v>
      </c>
      <c r="B674" t="s">
        <v>9</v>
      </c>
      <c r="C674" t="s">
        <v>1851</v>
      </c>
      <c r="D674" t="s">
        <v>30</v>
      </c>
      <c r="E674" t="s">
        <v>72</v>
      </c>
      <c r="F674" t="s">
        <v>72</v>
      </c>
      <c r="G674" t="s">
        <v>1852</v>
      </c>
      <c r="H674" t="s">
        <v>1835</v>
      </c>
      <c r="I674" t="s">
        <v>397</v>
      </c>
    </row>
    <row r="675" spans="1:9" x14ac:dyDescent="0.25">
      <c r="A675" t="str">
        <f>"90481219A6"</f>
        <v>90481219A6</v>
      </c>
      <c r="B675" t="s">
        <v>9</v>
      </c>
      <c r="C675" t="s">
        <v>1853</v>
      </c>
      <c r="D675" t="s">
        <v>30</v>
      </c>
      <c r="E675" t="s">
        <v>1854</v>
      </c>
      <c r="F675" t="s">
        <v>1854</v>
      </c>
      <c r="G675" t="s">
        <v>1855</v>
      </c>
      <c r="H675" t="s">
        <v>1856</v>
      </c>
      <c r="I675" t="s">
        <v>1855</v>
      </c>
    </row>
    <row r="676" spans="1:9" x14ac:dyDescent="0.25">
      <c r="A676" t="str">
        <f>"903911627F"</f>
        <v>903911627F</v>
      </c>
      <c r="B676" t="s">
        <v>9</v>
      </c>
      <c r="C676" t="s">
        <v>1857</v>
      </c>
      <c r="D676" t="s">
        <v>30</v>
      </c>
      <c r="E676" t="s">
        <v>355</v>
      </c>
      <c r="F676" t="s">
        <v>355</v>
      </c>
      <c r="G676" t="s">
        <v>1858</v>
      </c>
      <c r="H676" t="s">
        <v>1859</v>
      </c>
      <c r="I676" t="s">
        <v>397</v>
      </c>
    </row>
    <row r="677" spans="1:9" x14ac:dyDescent="0.25">
      <c r="A677" t="str">
        <f>"90384447F0"</f>
        <v>90384447F0</v>
      </c>
      <c r="B677" t="s">
        <v>9</v>
      </c>
      <c r="C677" t="s">
        <v>1860</v>
      </c>
      <c r="D677" t="s">
        <v>30</v>
      </c>
      <c r="E677" t="s">
        <v>1861</v>
      </c>
      <c r="F677" t="s">
        <v>1861</v>
      </c>
      <c r="G677" t="s">
        <v>1862</v>
      </c>
      <c r="H677" t="s">
        <v>1859</v>
      </c>
      <c r="I677" t="s">
        <v>397</v>
      </c>
    </row>
    <row r="678" spans="1:9" x14ac:dyDescent="0.25">
      <c r="A678" t="str">
        <f>"88637337DC"</f>
        <v>88637337DC</v>
      </c>
      <c r="B678" t="s">
        <v>9</v>
      </c>
      <c r="C678" t="s">
        <v>1863</v>
      </c>
      <c r="D678" t="s">
        <v>15</v>
      </c>
      <c r="E678" t="s">
        <v>1864</v>
      </c>
      <c r="F678" t="s">
        <v>1865</v>
      </c>
      <c r="G678" t="s">
        <v>1866</v>
      </c>
      <c r="H678" t="s">
        <v>1867</v>
      </c>
    </row>
    <row r="679" spans="1:9" x14ac:dyDescent="0.25">
      <c r="A679" t="str">
        <f>"9031074606"</f>
        <v>9031074606</v>
      </c>
      <c r="B679" t="s">
        <v>9</v>
      </c>
      <c r="C679" t="s">
        <v>1868</v>
      </c>
      <c r="D679" t="s">
        <v>30</v>
      </c>
      <c r="E679" t="s">
        <v>1378</v>
      </c>
      <c r="F679" t="s">
        <v>1378</v>
      </c>
      <c r="G679" t="s">
        <v>1869</v>
      </c>
      <c r="H679" t="s">
        <v>1870</v>
      </c>
      <c r="I679" t="s">
        <v>397</v>
      </c>
    </row>
    <row r="680" spans="1:9" x14ac:dyDescent="0.25">
      <c r="A680" t="str">
        <f>"9092523B56"</f>
        <v>9092523B56</v>
      </c>
      <c r="B680" t="s">
        <v>9</v>
      </c>
      <c r="C680" t="s">
        <v>1871</v>
      </c>
      <c r="D680" t="s">
        <v>30</v>
      </c>
      <c r="E680" t="s">
        <v>1872</v>
      </c>
      <c r="F680" t="s">
        <v>1872</v>
      </c>
      <c r="G680" t="s">
        <v>1873</v>
      </c>
      <c r="H680" t="s">
        <v>1874</v>
      </c>
      <c r="I680" t="s">
        <v>1873</v>
      </c>
    </row>
    <row r="681" spans="1:9" x14ac:dyDescent="0.25">
      <c r="A681" t="str">
        <f>"90310767AC"</f>
        <v>90310767AC</v>
      </c>
      <c r="B681" t="s">
        <v>9</v>
      </c>
      <c r="C681" t="s">
        <v>1875</v>
      </c>
      <c r="D681" t="s">
        <v>30</v>
      </c>
      <c r="E681" t="s">
        <v>898</v>
      </c>
      <c r="F681" t="s">
        <v>898</v>
      </c>
      <c r="G681" t="s">
        <v>1876</v>
      </c>
      <c r="H681" t="s">
        <v>1877</v>
      </c>
      <c r="I681" t="s">
        <v>397</v>
      </c>
    </row>
    <row r="682" spans="1:9" x14ac:dyDescent="0.25">
      <c r="A682" t="str">
        <f>"9004552760"</f>
        <v>9004552760</v>
      </c>
      <c r="B682" t="s">
        <v>9</v>
      </c>
      <c r="C682" t="s">
        <v>1878</v>
      </c>
      <c r="D682" t="s">
        <v>30</v>
      </c>
      <c r="E682" t="s">
        <v>529</v>
      </c>
      <c r="F682" t="s">
        <v>529</v>
      </c>
      <c r="G682" t="s">
        <v>1756</v>
      </c>
      <c r="H682" t="s">
        <v>1879</v>
      </c>
    </row>
    <row r="683" spans="1:9" x14ac:dyDescent="0.25">
      <c r="A683" t="str">
        <f>"9035464CC2"</f>
        <v>9035464CC2</v>
      </c>
      <c r="B683" t="s">
        <v>9</v>
      </c>
      <c r="C683" t="s">
        <v>1880</v>
      </c>
      <c r="D683" t="s">
        <v>30</v>
      </c>
      <c r="E683" t="s">
        <v>1881</v>
      </c>
      <c r="F683" t="s">
        <v>1881</v>
      </c>
      <c r="G683" t="s">
        <v>1882</v>
      </c>
      <c r="H683" t="s">
        <v>1883</v>
      </c>
      <c r="I683" t="s">
        <v>1884</v>
      </c>
    </row>
    <row r="684" spans="1:9" x14ac:dyDescent="0.25">
      <c r="A684" t="str">
        <f>"9039541138"</f>
        <v>9039541138</v>
      </c>
      <c r="B684" t="s">
        <v>9</v>
      </c>
      <c r="C684" t="s">
        <v>1885</v>
      </c>
      <c r="D684" t="s">
        <v>30</v>
      </c>
      <c r="E684" t="s">
        <v>638</v>
      </c>
      <c r="F684" t="s">
        <v>638</v>
      </c>
      <c r="G684" t="s">
        <v>639</v>
      </c>
      <c r="H684" t="s">
        <v>1886</v>
      </c>
    </row>
    <row r="685" spans="1:9" x14ac:dyDescent="0.25">
      <c r="A685" t="str">
        <f>"90045261ED"</f>
        <v>90045261ED</v>
      </c>
      <c r="B685" t="s">
        <v>9</v>
      </c>
      <c r="C685" t="s">
        <v>1887</v>
      </c>
      <c r="D685" t="s">
        <v>30</v>
      </c>
      <c r="E685" t="s">
        <v>1888</v>
      </c>
      <c r="F685" t="s">
        <v>1888</v>
      </c>
      <c r="G685" t="s">
        <v>1756</v>
      </c>
      <c r="H685" t="s">
        <v>1889</v>
      </c>
      <c r="I685" t="s">
        <v>1756</v>
      </c>
    </row>
    <row r="686" spans="1:9" x14ac:dyDescent="0.25">
      <c r="A686" t="str">
        <f>"9031072460"</f>
        <v>9031072460</v>
      </c>
      <c r="B686" t="s">
        <v>9</v>
      </c>
      <c r="C686" t="s">
        <v>1890</v>
      </c>
      <c r="D686" t="s">
        <v>30</v>
      </c>
      <c r="E686" t="s">
        <v>1891</v>
      </c>
      <c r="F686" t="s">
        <v>1891</v>
      </c>
      <c r="G686" t="s">
        <v>1892</v>
      </c>
      <c r="H686" t="s">
        <v>1893</v>
      </c>
      <c r="I686" t="s">
        <v>1892</v>
      </c>
    </row>
    <row r="687" spans="1:9" x14ac:dyDescent="0.25">
      <c r="A687" t="str">
        <f>"8972425756"</f>
        <v>8972425756</v>
      </c>
      <c r="B687" t="s">
        <v>9</v>
      </c>
      <c r="C687" t="s">
        <v>1894</v>
      </c>
      <c r="D687" t="s">
        <v>30</v>
      </c>
      <c r="E687" t="s">
        <v>1895</v>
      </c>
      <c r="F687" t="s">
        <v>1895</v>
      </c>
      <c r="G687" t="s">
        <v>1896</v>
      </c>
      <c r="H687" t="s">
        <v>1897</v>
      </c>
    </row>
    <row r="688" spans="1:9" x14ac:dyDescent="0.25">
      <c r="A688" t="str">
        <f>"8994374839"</f>
        <v>8994374839</v>
      </c>
      <c r="B688" t="s">
        <v>9</v>
      </c>
      <c r="C688" t="s">
        <v>1898</v>
      </c>
      <c r="D688" t="s">
        <v>30</v>
      </c>
      <c r="E688" t="s">
        <v>1899</v>
      </c>
      <c r="F688" t="s">
        <v>1899</v>
      </c>
      <c r="G688" t="s">
        <v>1900</v>
      </c>
      <c r="H688" t="s">
        <v>1901</v>
      </c>
      <c r="I688" t="s">
        <v>1900</v>
      </c>
    </row>
    <row r="689" spans="1:9" x14ac:dyDescent="0.25">
      <c r="A689" t="str">
        <f>"89562481A9"</f>
        <v>89562481A9</v>
      </c>
      <c r="B689" t="s">
        <v>9</v>
      </c>
      <c r="C689" t="s">
        <v>1902</v>
      </c>
      <c r="D689" t="s">
        <v>30</v>
      </c>
      <c r="E689" t="s">
        <v>989</v>
      </c>
      <c r="F689" t="s">
        <v>989</v>
      </c>
      <c r="G689" t="s">
        <v>990</v>
      </c>
      <c r="H689" t="s">
        <v>1903</v>
      </c>
      <c r="I689" t="s">
        <v>990</v>
      </c>
    </row>
    <row r="690" spans="1:9" x14ac:dyDescent="0.25">
      <c r="A690" t="str">
        <f>"892679611A"</f>
        <v>892679611A</v>
      </c>
      <c r="B690" t="s">
        <v>9</v>
      </c>
      <c r="C690" t="s">
        <v>1904</v>
      </c>
      <c r="D690" t="s">
        <v>30</v>
      </c>
      <c r="E690" t="s">
        <v>1905</v>
      </c>
      <c r="F690" t="s">
        <v>1905</v>
      </c>
      <c r="G690" t="s">
        <v>1906</v>
      </c>
      <c r="H690" t="s">
        <v>1907</v>
      </c>
      <c r="I690" t="s">
        <v>1906</v>
      </c>
    </row>
    <row r="691" spans="1:9" x14ac:dyDescent="0.25">
      <c r="A691" t="str">
        <f>"9026083F4F"</f>
        <v>9026083F4F</v>
      </c>
      <c r="B691" t="s">
        <v>9</v>
      </c>
      <c r="C691" t="s">
        <v>1908</v>
      </c>
      <c r="D691" t="s">
        <v>30</v>
      </c>
      <c r="E691" t="s">
        <v>686</v>
      </c>
      <c r="F691" t="s">
        <v>686</v>
      </c>
      <c r="G691" t="s">
        <v>263</v>
      </c>
      <c r="H691" t="s">
        <v>1909</v>
      </c>
      <c r="I691" t="s">
        <v>263</v>
      </c>
    </row>
    <row r="692" spans="1:9" x14ac:dyDescent="0.25">
      <c r="A692" t="str">
        <f>"9024608E1A"</f>
        <v>9024608E1A</v>
      </c>
      <c r="B692" t="s">
        <v>9</v>
      </c>
      <c r="C692" t="s">
        <v>1910</v>
      </c>
      <c r="D692" t="s">
        <v>30</v>
      </c>
      <c r="E692" t="s">
        <v>1097</v>
      </c>
      <c r="F692" t="s">
        <v>1097</v>
      </c>
      <c r="G692" t="s">
        <v>667</v>
      </c>
      <c r="H692" t="s">
        <v>1911</v>
      </c>
      <c r="I692" t="s">
        <v>667</v>
      </c>
    </row>
    <row r="693" spans="1:9" x14ac:dyDescent="0.25">
      <c r="A693" t="str">
        <f>"90247714A0"</f>
        <v>90247714A0</v>
      </c>
      <c r="B693" t="s">
        <v>9</v>
      </c>
      <c r="C693" t="s">
        <v>1912</v>
      </c>
      <c r="D693" t="s">
        <v>30</v>
      </c>
      <c r="E693" t="s">
        <v>1913</v>
      </c>
      <c r="F693" t="s">
        <v>1913</v>
      </c>
      <c r="G693" t="s">
        <v>635</v>
      </c>
      <c r="H693" t="s">
        <v>1914</v>
      </c>
      <c r="I693" t="s">
        <v>635</v>
      </c>
    </row>
    <row r="694" spans="1:9" x14ac:dyDescent="0.25">
      <c r="A694" t="str">
        <f>"9005351ABA"</f>
        <v>9005351ABA</v>
      </c>
      <c r="B694" t="s">
        <v>9</v>
      </c>
      <c r="C694" t="s">
        <v>1915</v>
      </c>
      <c r="D694" t="s">
        <v>30</v>
      </c>
      <c r="E694" t="s">
        <v>1891</v>
      </c>
      <c r="F694" t="s">
        <v>1891</v>
      </c>
      <c r="G694" t="s">
        <v>1916</v>
      </c>
      <c r="H694" t="s">
        <v>1917</v>
      </c>
      <c r="I694" t="s">
        <v>397</v>
      </c>
    </row>
    <row r="695" spans="1:9" x14ac:dyDescent="0.25">
      <c r="A695" t="str">
        <f>"9029825F4E"</f>
        <v>9029825F4E</v>
      </c>
      <c r="B695" t="s">
        <v>9</v>
      </c>
      <c r="C695" t="s">
        <v>1918</v>
      </c>
      <c r="D695" t="s">
        <v>30</v>
      </c>
      <c r="E695" t="s">
        <v>666</v>
      </c>
      <c r="F695" t="s">
        <v>666</v>
      </c>
      <c r="G695" t="s">
        <v>1510</v>
      </c>
      <c r="H695" t="s">
        <v>1919</v>
      </c>
      <c r="I695" t="s">
        <v>1510</v>
      </c>
    </row>
    <row r="696" spans="1:9" x14ac:dyDescent="0.25">
      <c r="A696" t="str">
        <f>"90154676B8"</f>
        <v>90154676B8</v>
      </c>
      <c r="B696" t="s">
        <v>9</v>
      </c>
      <c r="C696" t="s">
        <v>1920</v>
      </c>
      <c r="D696" t="s">
        <v>30</v>
      </c>
      <c r="E696" t="s">
        <v>1921</v>
      </c>
      <c r="F696" t="s">
        <v>1921</v>
      </c>
      <c r="G696" t="s">
        <v>1922</v>
      </c>
      <c r="H696" t="s">
        <v>1923</v>
      </c>
    </row>
    <row r="697" spans="1:9" x14ac:dyDescent="0.25">
      <c r="A697" t="str">
        <f>"901186389A"</f>
        <v>901186389A</v>
      </c>
      <c r="B697" t="s">
        <v>9</v>
      </c>
      <c r="C697" t="s">
        <v>1924</v>
      </c>
      <c r="D697" t="s">
        <v>30</v>
      </c>
      <c r="E697" t="s">
        <v>1925</v>
      </c>
      <c r="F697" t="s">
        <v>1925</v>
      </c>
      <c r="G697" t="s">
        <v>1926</v>
      </c>
      <c r="H697" t="s">
        <v>1927</v>
      </c>
      <c r="I697" t="s">
        <v>397</v>
      </c>
    </row>
    <row r="698" spans="1:9" x14ac:dyDescent="0.25">
      <c r="A698" t="str">
        <f>"9011876356"</f>
        <v>9011876356</v>
      </c>
      <c r="B698" t="s">
        <v>9</v>
      </c>
      <c r="C698" t="s">
        <v>1928</v>
      </c>
      <c r="D698" t="s">
        <v>30</v>
      </c>
      <c r="E698" t="s">
        <v>1929</v>
      </c>
      <c r="F698" t="s">
        <v>1929</v>
      </c>
      <c r="G698" t="s">
        <v>1930</v>
      </c>
      <c r="H698" t="s">
        <v>1927</v>
      </c>
      <c r="I698" t="s">
        <v>397</v>
      </c>
    </row>
    <row r="699" spans="1:9" x14ac:dyDescent="0.25">
      <c r="A699" t="str">
        <f>"899189065D"</f>
        <v>899189065D</v>
      </c>
      <c r="B699" t="s">
        <v>9</v>
      </c>
      <c r="C699" t="s">
        <v>1931</v>
      </c>
      <c r="D699" t="s">
        <v>30</v>
      </c>
      <c r="E699" t="s">
        <v>1932</v>
      </c>
      <c r="F699" t="s">
        <v>1932</v>
      </c>
      <c r="G699" t="s">
        <v>1933</v>
      </c>
      <c r="H699" t="s">
        <v>1934</v>
      </c>
      <c r="I699" t="s">
        <v>397</v>
      </c>
    </row>
    <row r="700" spans="1:9" x14ac:dyDescent="0.25">
      <c r="A700" t="str">
        <f>"9002148788"</f>
        <v>9002148788</v>
      </c>
      <c r="B700" t="s">
        <v>9</v>
      </c>
      <c r="C700" t="s">
        <v>1935</v>
      </c>
      <c r="D700" t="s">
        <v>30</v>
      </c>
      <c r="E700" t="s">
        <v>39</v>
      </c>
      <c r="F700" t="s">
        <v>39</v>
      </c>
      <c r="G700" t="s">
        <v>1936</v>
      </c>
      <c r="H700" t="s">
        <v>1937</v>
      </c>
      <c r="I700" t="s">
        <v>397</v>
      </c>
    </row>
    <row r="701" spans="1:9" x14ac:dyDescent="0.25">
      <c r="A701" t="str">
        <f>"90094598C2"</f>
        <v>90094598C2</v>
      </c>
      <c r="B701" t="s">
        <v>9</v>
      </c>
      <c r="C701" t="s">
        <v>1938</v>
      </c>
      <c r="D701" t="s">
        <v>30</v>
      </c>
      <c r="E701" t="s">
        <v>1929</v>
      </c>
      <c r="F701" t="s">
        <v>1929</v>
      </c>
      <c r="G701" t="s">
        <v>1939</v>
      </c>
      <c r="H701" t="s">
        <v>1937</v>
      </c>
      <c r="I701" t="s">
        <v>397</v>
      </c>
    </row>
    <row r="702" spans="1:9" x14ac:dyDescent="0.25">
      <c r="A702" t="str">
        <f>"8990292FA4"</f>
        <v>8990292FA4</v>
      </c>
      <c r="B702" t="s">
        <v>9</v>
      </c>
      <c r="C702" t="s">
        <v>1940</v>
      </c>
      <c r="D702" t="s">
        <v>11</v>
      </c>
      <c r="E702" t="s">
        <v>160</v>
      </c>
      <c r="F702" t="s">
        <v>160</v>
      </c>
      <c r="G702" t="s">
        <v>1941</v>
      </c>
      <c r="H702" t="s">
        <v>1942</v>
      </c>
    </row>
    <row r="703" spans="1:9" x14ac:dyDescent="0.25">
      <c r="A703" t="str">
        <f>"90477328A3"</f>
        <v>90477328A3</v>
      </c>
      <c r="B703" t="s">
        <v>9</v>
      </c>
      <c r="C703" t="s">
        <v>1943</v>
      </c>
      <c r="D703" t="s">
        <v>30</v>
      </c>
      <c r="E703" t="s">
        <v>230</v>
      </c>
      <c r="F703" t="s">
        <v>230</v>
      </c>
      <c r="G703" t="s">
        <v>1944</v>
      </c>
      <c r="H703" t="s">
        <v>1942</v>
      </c>
    </row>
    <row r="704" spans="1:9" x14ac:dyDescent="0.25">
      <c r="A704" t="str">
        <f>"8989893663"</f>
        <v>8989893663</v>
      </c>
      <c r="B704" t="s">
        <v>9</v>
      </c>
      <c r="C704" t="s">
        <v>1945</v>
      </c>
      <c r="D704" t="s">
        <v>11</v>
      </c>
      <c r="E704" t="s">
        <v>160</v>
      </c>
      <c r="F704" t="s">
        <v>160</v>
      </c>
      <c r="G704" t="s">
        <v>1946</v>
      </c>
      <c r="H704" t="s">
        <v>1947</v>
      </c>
      <c r="I704" t="s">
        <v>1946</v>
      </c>
    </row>
    <row r="705" spans="1:9" x14ac:dyDescent="0.25">
      <c r="A705" t="str">
        <f>"89269754D0"</f>
        <v>89269754D0</v>
      </c>
      <c r="B705" t="s">
        <v>9</v>
      </c>
      <c r="C705" t="s">
        <v>1948</v>
      </c>
      <c r="D705" t="s">
        <v>30</v>
      </c>
      <c r="E705" t="s">
        <v>1949</v>
      </c>
      <c r="F705" t="s">
        <v>1949</v>
      </c>
      <c r="G705" t="s">
        <v>1950</v>
      </c>
      <c r="H705" t="s">
        <v>1951</v>
      </c>
      <c r="I705" t="s">
        <v>1952</v>
      </c>
    </row>
    <row r="706" spans="1:9" x14ac:dyDescent="0.25">
      <c r="A706" t="str">
        <f>"8972469BA4"</f>
        <v>8972469BA4</v>
      </c>
      <c r="B706" t="s">
        <v>9</v>
      </c>
      <c r="C706" t="s">
        <v>1953</v>
      </c>
      <c r="D706" t="s">
        <v>30</v>
      </c>
      <c r="E706" t="s">
        <v>1673</v>
      </c>
      <c r="F706" t="s">
        <v>1673</v>
      </c>
      <c r="G706" t="s">
        <v>1954</v>
      </c>
      <c r="H706" t="s">
        <v>1955</v>
      </c>
      <c r="I706" t="s">
        <v>1956</v>
      </c>
    </row>
    <row r="707" spans="1:9" x14ac:dyDescent="0.25">
      <c r="A707" t="str">
        <f>"90153749F8"</f>
        <v>90153749F8</v>
      </c>
      <c r="B707" t="s">
        <v>9</v>
      </c>
      <c r="C707" t="s">
        <v>1957</v>
      </c>
      <c r="D707" t="s">
        <v>11</v>
      </c>
      <c r="E707" t="s">
        <v>1958</v>
      </c>
      <c r="F707" t="s">
        <v>1958</v>
      </c>
      <c r="G707" t="s">
        <v>1959</v>
      </c>
      <c r="H707" t="s">
        <v>1951</v>
      </c>
      <c r="I707" t="s">
        <v>1959</v>
      </c>
    </row>
    <row r="708" spans="1:9" x14ac:dyDescent="0.25">
      <c r="A708" t="str">
        <f>"8990192D1F"</f>
        <v>8990192D1F</v>
      </c>
      <c r="B708" t="s">
        <v>9</v>
      </c>
      <c r="C708" t="s">
        <v>1960</v>
      </c>
      <c r="D708" t="s">
        <v>30</v>
      </c>
      <c r="E708" t="s">
        <v>160</v>
      </c>
      <c r="F708" t="s">
        <v>160</v>
      </c>
      <c r="G708" t="s">
        <v>1961</v>
      </c>
      <c r="H708" t="s">
        <v>1962</v>
      </c>
      <c r="I708" t="s">
        <v>1961</v>
      </c>
    </row>
    <row r="709" spans="1:9" x14ac:dyDescent="0.25">
      <c r="A709" t="str">
        <f>"8989763B1A"</f>
        <v>8989763B1A</v>
      </c>
      <c r="B709" t="s">
        <v>9</v>
      </c>
      <c r="C709" t="s">
        <v>1963</v>
      </c>
      <c r="D709" t="s">
        <v>11</v>
      </c>
      <c r="E709" t="s">
        <v>160</v>
      </c>
      <c r="F709" t="s">
        <v>160</v>
      </c>
      <c r="G709" t="s">
        <v>694</v>
      </c>
      <c r="H709" t="s">
        <v>1942</v>
      </c>
    </row>
    <row r="710" spans="1:9" x14ac:dyDescent="0.25">
      <c r="A710" t="str">
        <f>"8989952713"</f>
        <v>8989952713</v>
      </c>
      <c r="B710" t="s">
        <v>9</v>
      </c>
      <c r="C710" t="s">
        <v>1964</v>
      </c>
      <c r="D710" t="s">
        <v>11</v>
      </c>
      <c r="E710" t="s">
        <v>160</v>
      </c>
      <c r="F710" t="s">
        <v>160</v>
      </c>
      <c r="G710" t="s">
        <v>1965</v>
      </c>
      <c r="H710" t="s">
        <v>1942</v>
      </c>
    </row>
    <row r="711" spans="1:9" x14ac:dyDescent="0.25">
      <c r="A711" t="str">
        <f>"9022802BBF"</f>
        <v>9022802BBF</v>
      </c>
      <c r="B711" t="s">
        <v>9</v>
      </c>
      <c r="C711" t="s">
        <v>1966</v>
      </c>
      <c r="D711" t="s">
        <v>30</v>
      </c>
      <c r="E711" t="s">
        <v>1967</v>
      </c>
      <c r="F711" t="s">
        <v>1967</v>
      </c>
      <c r="G711" t="s">
        <v>1968</v>
      </c>
      <c r="H711" t="s">
        <v>1942</v>
      </c>
    </row>
    <row r="712" spans="1:9" x14ac:dyDescent="0.25">
      <c r="A712" t="str">
        <f>"8968934679"</f>
        <v>8968934679</v>
      </c>
      <c r="B712" t="s">
        <v>9</v>
      </c>
      <c r="C712" t="s">
        <v>1969</v>
      </c>
      <c r="D712" t="s">
        <v>30</v>
      </c>
      <c r="E712" t="s">
        <v>1970</v>
      </c>
      <c r="F712" t="s">
        <v>1970</v>
      </c>
      <c r="G712" t="s">
        <v>1971</v>
      </c>
      <c r="H712" t="s">
        <v>1972</v>
      </c>
    </row>
    <row r="713" spans="1:9" x14ac:dyDescent="0.25">
      <c r="A713" t="str">
        <f>"89693562B9"</f>
        <v>89693562B9</v>
      </c>
      <c r="B713" t="s">
        <v>9</v>
      </c>
      <c r="C713" t="s">
        <v>1973</v>
      </c>
      <c r="D713" t="s">
        <v>30</v>
      </c>
      <c r="E713" t="s">
        <v>1974</v>
      </c>
      <c r="F713" t="s">
        <v>1974</v>
      </c>
      <c r="G713" t="s">
        <v>1975</v>
      </c>
      <c r="H713" t="s">
        <v>1972</v>
      </c>
    </row>
    <row r="714" spans="1:9" x14ac:dyDescent="0.25">
      <c r="A714" t="str">
        <f>"8942451802"</f>
        <v>8942451802</v>
      </c>
      <c r="B714" t="s">
        <v>9</v>
      </c>
      <c r="C714" t="s">
        <v>1976</v>
      </c>
      <c r="D714" t="s">
        <v>30</v>
      </c>
      <c r="E714" t="s">
        <v>160</v>
      </c>
      <c r="F714" t="s">
        <v>160</v>
      </c>
      <c r="G714" t="s">
        <v>1977</v>
      </c>
      <c r="H714" t="s">
        <v>1978</v>
      </c>
      <c r="I714" t="s">
        <v>1977</v>
      </c>
    </row>
    <row r="715" spans="1:9" x14ac:dyDescent="0.25">
      <c r="A715" t="str">
        <f>"898749075E"</f>
        <v>898749075E</v>
      </c>
      <c r="B715" t="s">
        <v>9</v>
      </c>
      <c r="C715" t="s">
        <v>1979</v>
      </c>
      <c r="D715" t="s">
        <v>30</v>
      </c>
      <c r="E715" t="s">
        <v>774</v>
      </c>
      <c r="F715" t="s">
        <v>774</v>
      </c>
      <c r="G715" t="s">
        <v>1980</v>
      </c>
      <c r="H715" t="s">
        <v>1981</v>
      </c>
    </row>
    <row r="716" spans="1:9" x14ac:dyDescent="0.25">
      <c r="A716" t="str">
        <f>"90107924CA"</f>
        <v>90107924CA</v>
      </c>
      <c r="B716" t="s">
        <v>9</v>
      </c>
      <c r="C716" t="s">
        <v>1982</v>
      </c>
      <c r="D716" t="s">
        <v>30</v>
      </c>
      <c r="E716" t="s">
        <v>1983</v>
      </c>
      <c r="F716" t="s">
        <v>1983</v>
      </c>
      <c r="G716" t="s">
        <v>1984</v>
      </c>
      <c r="H716" t="s">
        <v>1985</v>
      </c>
      <c r="I716" t="s">
        <v>397</v>
      </c>
    </row>
    <row r="717" spans="1:9" x14ac:dyDescent="0.25">
      <c r="A717" t="str">
        <f>"8982793349"</f>
        <v>8982793349</v>
      </c>
      <c r="B717" t="s">
        <v>9</v>
      </c>
      <c r="C717" t="s">
        <v>1986</v>
      </c>
      <c r="D717" t="s">
        <v>11</v>
      </c>
      <c r="E717" t="s">
        <v>160</v>
      </c>
      <c r="F717" t="s">
        <v>160</v>
      </c>
      <c r="G717" t="s">
        <v>1987</v>
      </c>
      <c r="H717" t="s">
        <v>1988</v>
      </c>
      <c r="I717" t="s">
        <v>397</v>
      </c>
    </row>
    <row r="718" spans="1:9" x14ac:dyDescent="0.25">
      <c r="A718" t="str">
        <f>"890392140D"</f>
        <v>890392140D</v>
      </c>
      <c r="B718" t="s">
        <v>9</v>
      </c>
      <c r="C718" t="s">
        <v>1989</v>
      </c>
      <c r="D718" t="s">
        <v>30</v>
      </c>
      <c r="E718" t="s">
        <v>152</v>
      </c>
      <c r="F718" t="s">
        <v>152</v>
      </c>
      <c r="G718" t="s">
        <v>1990</v>
      </c>
      <c r="H718" t="s">
        <v>1991</v>
      </c>
      <c r="I718" t="s">
        <v>1990</v>
      </c>
    </row>
    <row r="719" spans="1:9" x14ac:dyDescent="0.25">
      <c r="A719" t="str">
        <f>"895968237C"</f>
        <v>895968237C</v>
      </c>
      <c r="B719" t="s">
        <v>9</v>
      </c>
      <c r="C719" t="s">
        <v>1992</v>
      </c>
      <c r="D719" t="s">
        <v>30</v>
      </c>
      <c r="E719" t="s">
        <v>128</v>
      </c>
      <c r="F719" t="s">
        <v>128</v>
      </c>
      <c r="G719" t="s">
        <v>78</v>
      </c>
      <c r="H719" t="s">
        <v>1993</v>
      </c>
      <c r="I719" t="s">
        <v>78</v>
      </c>
    </row>
    <row r="720" spans="1:9" x14ac:dyDescent="0.25">
      <c r="A720" t="str">
        <f>"8951919D3E"</f>
        <v>8951919D3E</v>
      </c>
      <c r="B720" t="s">
        <v>9</v>
      </c>
      <c r="C720" t="s">
        <v>1994</v>
      </c>
      <c r="D720" t="s">
        <v>30</v>
      </c>
      <c r="E720" t="s">
        <v>197</v>
      </c>
      <c r="F720" t="s">
        <v>197</v>
      </c>
      <c r="G720" t="s">
        <v>1995</v>
      </c>
      <c r="H720" t="s">
        <v>1996</v>
      </c>
      <c r="I720" t="s">
        <v>397</v>
      </c>
    </row>
    <row r="721" spans="1:9" x14ac:dyDescent="0.25">
      <c r="A721" t="str">
        <f>"89519159F2"</f>
        <v>89519159F2</v>
      </c>
      <c r="B721" t="s">
        <v>9</v>
      </c>
      <c r="C721" t="s">
        <v>1997</v>
      </c>
      <c r="D721" t="s">
        <v>30</v>
      </c>
      <c r="E721" t="s">
        <v>96</v>
      </c>
      <c r="F721" t="s">
        <v>96</v>
      </c>
      <c r="G721" t="s">
        <v>1998</v>
      </c>
      <c r="H721" t="s">
        <v>1996</v>
      </c>
      <c r="I721" t="s">
        <v>397</v>
      </c>
    </row>
    <row r="722" spans="1:9" x14ac:dyDescent="0.25">
      <c r="A722" t="str">
        <f>"8934698A07"</f>
        <v>8934698A07</v>
      </c>
      <c r="B722" t="s">
        <v>9</v>
      </c>
      <c r="C722" t="s">
        <v>1999</v>
      </c>
      <c r="D722" t="s">
        <v>30</v>
      </c>
      <c r="E722" t="s">
        <v>2000</v>
      </c>
      <c r="F722" t="s">
        <v>2000</v>
      </c>
      <c r="G722" t="s">
        <v>2001</v>
      </c>
      <c r="H722" t="s">
        <v>2002</v>
      </c>
      <c r="I722" t="s">
        <v>2001</v>
      </c>
    </row>
    <row r="723" spans="1:9" x14ac:dyDescent="0.25">
      <c r="A723" t="str">
        <f>"8942747C45"</f>
        <v>8942747C45</v>
      </c>
      <c r="B723" t="s">
        <v>9</v>
      </c>
      <c r="C723" t="s">
        <v>2003</v>
      </c>
      <c r="D723" t="s">
        <v>30</v>
      </c>
      <c r="E723" t="s">
        <v>2004</v>
      </c>
      <c r="F723" t="s">
        <v>2004</v>
      </c>
      <c r="G723" t="s">
        <v>2005</v>
      </c>
      <c r="H723" t="s">
        <v>2006</v>
      </c>
    </row>
    <row r="724" spans="1:9" x14ac:dyDescent="0.25">
      <c r="A724" t="str">
        <f>"8860463D5D"</f>
        <v>8860463D5D</v>
      </c>
      <c r="B724" t="s">
        <v>9</v>
      </c>
      <c r="C724" t="s">
        <v>2007</v>
      </c>
      <c r="D724" t="s">
        <v>30</v>
      </c>
      <c r="E724" t="s">
        <v>2008</v>
      </c>
      <c r="F724" t="s">
        <v>2008</v>
      </c>
      <c r="G724" t="s">
        <v>2009</v>
      </c>
      <c r="H724" t="s">
        <v>2010</v>
      </c>
      <c r="I724" t="s">
        <v>2009</v>
      </c>
    </row>
    <row r="725" spans="1:9" x14ac:dyDescent="0.25">
      <c r="A725" t="str">
        <f>"8903976171"</f>
        <v>8903976171</v>
      </c>
      <c r="B725" t="s">
        <v>9</v>
      </c>
      <c r="C725" t="s">
        <v>2011</v>
      </c>
      <c r="D725" t="s">
        <v>30</v>
      </c>
      <c r="E725" t="s">
        <v>152</v>
      </c>
      <c r="F725" t="s">
        <v>152</v>
      </c>
      <c r="G725" t="s">
        <v>2012</v>
      </c>
      <c r="H725" t="s">
        <v>2013</v>
      </c>
      <c r="I725" t="s">
        <v>2012</v>
      </c>
    </row>
    <row r="726" spans="1:9" x14ac:dyDescent="0.25">
      <c r="A726" t="str">
        <f>"8888051BB4"</f>
        <v>8888051BB4</v>
      </c>
      <c r="B726" t="s">
        <v>9</v>
      </c>
      <c r="C726" t="s">
        <v>2014</v>
      </c>
      <c r="D726" t="s">
        <v>30</v>
      </c>
      <c r="E726" t="s">
        <v>947</v>
      </c>
      <c r="F726" t="s">
        <v>947</v>
      </c>
      <c r="G726" t="s">
        <v>2015</v>
      </c>
      <c r="H726" t="s">
        <v>2016</v>
      </c>
      <c r="I726" t="s">
        <v>2015</v>
      </c>
    </row>
    <row r="727" spans="1:9" x14ac:dyDescent="0.25">
      <c r="A727" t="str">
        <f>"89235244F5"</f>
        <v>89235244F5</v>
      </c>
      <c r="B727" t="s">
        <v>9</v>
      </c>
      <c r="C727" t="s">
        <v>2017</v>
      </c>
      <c r="D727" t="s">
        <v>30</v>
      </c>
      <c r="E727" t="s">
        <v>96</v>
      </c>
      <c r="F727" t="s">
        <v>96</v>
      </c>
      <c r="G727" t="s">
        <v>2018</v>
      </c>
      <c r="H727" t="s">
        <v>2019</v>
      </c>
      <c r="I727" t="s">
        <v>397</v>
      </c>
    </row>
    <row r="728" spans="1:9" x14ac:dyDescent="0.25">
      <c r="A728" t="str">
        <f>"89200409DD"</f>
        <v>89200409DD</v>
      </c>
      <c r="B728" t="s">
        <v>9</v>
      </c>
      <c r="C728" t="s">
        <v>2020</v>
      </c>
      <c r="D728" t="s">
        <v>30</v>
      </c>
      <c r="E728" t="s">
        <v>983</v>
      </c>
      <c r="F728" t="s">
        <v>983</v>
      </c>
      <c r="G728" t="s">
        <v>748</v>
      </c>
      <c r="H728" t="s">
        <v>2021</v>
      </c>
      <c r="I728" t="s">
        <v>748</v>
      </c>
    </row>
    <row r="729" spans="1:9" x14ac:dyDescent="0.25">
      <c r="A729" t="str">
        <f>"8745692559"</f>
        <v>8745692559</v>
      </c>
      <c r="B729" t="s">
        <v>9</v>
      </c>
      <c r="C729" t="s">
        <v>2022</v>
      </c>
      <c r="D729" t="s">
        <v>20</v>
      </c>
      <c r="E729" t="s">
        <v>2023</v>
      </c>
      <c r="F729" t="s">
        <v>2024</v>
      </c>
      <c r="G729" t="s">
        <v>2025</v>
      </c>
      <c r="H729" t="s">
        <v>2026</v>
      </c>
      <c r="I729" t="s">
        <v>2027</v>
      </c>
    </row>
    <row r="730" spans="1:9" x14ac:dyDescent="0.25">
      <c r="A730" t="str">
        <f>"89034195C9"</f>
        <v>89034195C9</v>
      </c>
      <c r="B730" t="s">
        <v>9</v>
      </c>
      <c r="C730" t="s">
        <v>2028</v>
      </c>
      <c r="D730" t="s">
        <v>30</v>
      </c>
      <c r="E730" t="s">
        <v>1081</v>
      </c>
      <c r="F730" t="s">
        <v>1081</v>
      </c>
      <c r="G730" t="s">
        <v>2029</v>
      </c>
      <c r="H730" t="s">
        <v>2030</v>
      </c>
      <c r="I730" t="s">
        <v>2031</v>
      </c>
    </row>
    <row r="731" spans="1:9" x14ac:dyDescent="0.25">
      <c r="A731" t="str">
        <f>"8909826D00"</f>
        <v>8909826D00</v>
      </c>
      <c r="B731" t="s">
        <v>9</v>
      </c>
      <c r="C731" t="s">
        <v>2032</v>
      </c>
      <c r="D731" t="s">
        <v>30</v>
      </c>
      <c r="E731" t="s">
        <v>355</v>
      </c>
      <c r="F731" t="s">
        <v>355</v>
      </c>
      <c r="G731" t="s">
        <v>2033</v>
      </c>
      <c r="H731" t="s">
        <v>2034</v>
      </c>
      <c r="I731" t="s">
        <v>397</v>
      </c>
    </row>
    <row r="732" spans="1:9" x14ac:dyDescent="0.25">
      <c r="A732" t="str">
        <f>"89107149CE"</f>
        <v>89107149CE</v>
      </c>
      <c r="B732" t="s">
        <v>9</v>
      </c>
      <c r="C732" t="s">
        <v>2035</v>
      </c>
      <c r="D732" t="s">
        <v>11</v>
      </c>
      <c r="E732" t="s">
        <v>2036</v>
      </c>
      <c r="F732" t="s">
        <v>2036</v>
      </c>
      <c r="G732" t="s">
        <v>2037</v>
      </c>
      <c r="H732" t="s">
        <v>2034</v>
      </c>
    </row>
    <row r="733" spans="1:9" x14ac:dyDescent="0.25">
      <c r="A733" t="str">
        <f>"8854434E13"</f>
        <v>8854434E13</v>
      </c>
      <c r="B733" t="s">
        <v>9</v>
      </c>
      <c r="C733" t="s">
        <v>2038</v>
      </c>
      <c r="D733" t="s">
        <v>30</v>
      </c>
      <c r="E733" t="s">
        <v>2039</v>
      </c>
      <c r="F733" t="s">
        <v>2039</v>
      </c>
      <c r="G733" t="s">
        <v>2040</v>
      </c>
      <c r="H733" t="s">
        <v>2041</v>
      </c>
      <c r="I733" t="s">
        <v>2040</v>
      </c>
    </row>
    <row r="734" spans="1:9" x14ac:dyDescent="0.25">
      <c r="A734" t="str">
        <f>"8854862F45"</f>
        <v>8854862F45</v>
      </c>
      <c r="B734" t="s">
        <v>9</v>
      </c>
      <c r="C734" t="s">
        <v>2042</v>
      </c>
      <c r="D734" t="s">
        <v>30</v>
      </c>
      <c r="E734" t="s">
        <v>2043</v>
      </c>
      <c r="F734" t="s">
        <v>2043</v>
      </c>
      <c r="G734" t="s">
        <v>2044</v>
      </c>
      <c r="H734" t="s">
        <v>2041</v>
      </c>
      <c r="I734" t="s">
        <v>2044</v>
      </c>
    </row>
    <row r="735" spans="1:9" x14ac:dyDescent="0.25">
      <c r="A735" t="str">
        <f>"8860336492"</f>
        <v>8860336492</v>
      </c>
      <c r="B735" t="s">
        <v>9</v>
      </c>
      <c r="C735" t="s">
        <v>2045</v>
      </c>
      <c r="D735" t="s">
        <v>30</v>
      </c>
      <c r="E735" t="s">
        <v>1424</v>
      </c>
      <c r="F735" t="s">
        <v>1424</v>
      </c>
      <c r="G735" t="s">
        <v>2046</v>
      </c>
      <c r="H735" t="s">
        <v>2047</v>
      </c>
      <c r="I735" t="s">
        <v>2048</v>
      </c>
    </row>
    <row r="736" spans="1:9" x14ac:dyDescent="0.25">
      <c r="A736" t="str">
        <f>"8926849CD3"</f>
        <v>8926849CD3</v>
      </c>
      <c r="B736" t="s">
        <v>9</v>
      </c>
      <c r="C736" t="s">
        <v>2049</v>
      </c>
      <c r="D736" t="s">
        <v>30</v>
      </c>
      <c r="E736" t="s">
        <v>2050</v>
      </c>
      <c r="F736" t="s">
        <v>2050</v>
      </c>
      <c r="G736" t="s">
        <v>2051</v>
      </c>
      <c r="H736" t="s">
        <v>2052</v>
      </c>
      <c r="I736" t="s">
        <v>2051</v>
      </c>
    </row>
    <row r="737" spans="1:9" x14ac:dyDescent="0.25">
      <c r="A737" t="str">
        <f>"88600210A1"</f>
        <v>88600210A1</v>
      </c>
      <c r="B737" t="s">
        <v>9</v>
      </c>
      <c r="C737" t="s">
        <v>2053</v>
      </c>
      <c r="D737" t="s">
        <v>30</v>
      </c>
      <c r="E737" t="s">
        <v>2054</v>
      </c>
      <c r="F737" t="s">
        <v>2054</v>
      </c>
      <c r="G737" t="s">
        <v>2055</v>
      </c>
      <c r="H737" t="s">
        <v>2041</v>
      </c>
      <c r="I737" t="s">
        <v>2055</v>
      </c>
    </row>
    <row r="738" spans="1:9" x14ac:dyDescent="0.25">
      <c r="A738" t="str">
        <f>"8903491135"</f>
        <v>8903491135</v>
      </c>
      <c r="B738" t="s">
        <v>9</v>
      </c>
      <c r="C738" t="s">
        <v>2056</v>
      </c>
      <c r="D738" t="s">
        <v>11</v>
      </c>
      <c r="E738" t="s">
        <v>12</v>
      </c>
      <c r="F738" t="s">
        <v>12</v>
      </c>
      <c r="G738" t="s">
        <v>2057</v>
      </c>
      <c r="H738" t="s">
        <v>2058</v>
      </c>
      <c r="I738" t="s">
        <v>397</v>
      </c>
    </row>
    <row r="739" spans="1:9" x14ac:dyDescent="0.25">
      <c r="A739" t="str">
        <f>"8854488AA4"</f>
        <v>8854488AA4</v>
      </c>
      <c r="B739" t="s">
        <v>9</v>
      </c>
      <c r="C739" t="s">
        <v>2059</v>
      </c>
      <c r="D739" t="s">
        <v>30</v>
      </c>
      <c r="E739" t="s">
        <v>2060</v>
      </c>
      <c r="F739" t="s">
        <v>2060</v>
      </c>
      <c r="G739" t="s">
        <v>2061</v>
      </c>
      <c r="H739" t="s">
        <v>2062</v>
      </c>
      <c r="I739" t="s">
        <v>2061</v>
      </c>
    </row>
    <row r="740" spans="1:9" x14ac:dyDescent="0.25">
      <c r="A740" t="str">
        <f>"8897270379"</f>
        <v>8897270379</v>
      </c>
      <c r="B740" t="s">
        <v>9</v>
      </c>
      <c r="C740" t="s">
        <v>2063</v>
      </c>
      <c r="D740" t="s">
        <v>30</v>
      </c>
      <c r="E740" t="s">
        <v>704</v>
      </c>
      <c r="F740" t="s">
        <v>704</v>
      </c>
      <c r="G740" t="s">
        <v>2064</v>
      </c>
      <c r="H740" t="s">
        <v>2058</v>
      </c>
      <c r="I740" t="s">
        <v>2065</v>
      </c>
    </row>
    <row r="741" spans="1:9" x14ac:dyDescent="0.25">
      <c r="A741" t="str">
        <f>"89067312F0"</f>
        <v>89067312F0</v>
      </c>
      <c r="B741" t="s">
        <v>9</v>
      </c>
      <c r="C741" t="s">
        <v>2066</v>
      </c>
      <c r="D741" t="s">
        <v>30</v>
      </c>
      <c r="E741" t="s">
        <v>1214</v>
      </c>
      <c r="F741" t="s">
        <v>1214</v>
      </c>
      <c r="G741" t="s">
        <v>2067</v>
      </c>
      <c r="H741" t="s">
        <v>2041</v>
      </c>
      <c r="I741" t="s">
        <v>2067</v>
      </c>
    </row>
    <row r="742" spans="1:9" x14ac:dyDescent="0.25">
      <c r="A742" t="str">
        <f>"8854713453"</f>
        <v>8854713453</v>
      </c>
      <c r="B742" t="s">
        <v>9</v>
      </c>
      <c r="C742" t="s">
        <v>2068</v>
      </c>
      <c r="D742" t="s">
        <v>30</v>
      </c>
      <c r="E742" t="s">
        <v>2069</v>
      </c>
      <c r="F742" t="s">
        <v>2069</v>
      </c>
      <c r="G742" t="s">
        <v>2070</v>
      </c>
      <c r="H742" t="s">
        <v>2041</v>
      </c>
      <c r="I742" t="s">
        <v>2070</v>
      </c>
    </row>
    <row r="743" spans="1:9" x14ac:dyDescent="0.25">
      <c r="A743" t="str">
        <f>"8854626C85"</f>
        <v>8854626C85</v>
      </c>
      <c r="B743" t="s">
        <v>9</v>
      </c>
      <c r="C743" t="s">
        <v>2071</v>
      </c>
      <c r="D743" t="s">
        <v>30</v>
      </c>
      <c r="E743" t="s">
        <v>1043</v>
      </c>
      <c r="F743" t="s">
        <v>1043</v>
      </c>
      <c r="G743" t="s">
        <v>2072</v>
      </c>
      <c r="H743" t="s">
        <v>2058</v>
      </c>
    </row>
    <row r="744" spans="1:9" x14ac:dyDescent="0.25">
      <c r="A744" t="str">
        <f>"889543050E"</f>
        <v>889543050E</v>
      </c>
      <c r="B744" t="s">
        <v>9</v>
      </c>
      <c r="C744" t="s">
        <v>2073</v>
      </c>
      <c r="D744" t="s">
        <v>30</v>
      </c>
      <c r="E744" t="s">
        <v>2074</v>
      </c>
      <c r="F744" t="s">
        <v>2074</v>
      </c>
      <c r="G744" t="s">
        <v>2075</v>
      </c>
      <c r="H744" t="s">
        <v>2076</v>
      </c>
      <c r="I744" t="s">
        <v>397</v>
      </c>
    </row>
    <row r="745" spans="1:9" x14ac:dyDescent="0.25">
      <c r="A745" t="str">
        <f>"8829673CA7"</f>
        <v>8829673CA7</v>
      </c>
      <c r="B745" t="s">
        <v>9</v>
      </c>
      <c r="C745" t="s">
        <v>2077</v>
      </c>
      <c r="D745" t="s">
        <v>20</v>
      </c>
      <c r="E745" t="s">
        <v>2078</v>
      </c>
      <c r="F745" t="s">
        <v>1424</v>
      </c>
      <c r="G745" t="s">
        <v>2079</v>
      </c>
      <c r="H745" t="s">
        <v>2080</v>
      </c>
      <c r="I745" t="s">
        <v>2079</v>
      </c>
    </row>
    <row r="746" spans="1:9" x14ac:dyDescent="0.25">
      <c r="A746" t="str">
        <f>"8867905AB3"</f>
        <v>8867905AB3</v>
      </c>
      <c r="B746" t="s">
        <v>9</v>
      </c>
      <c r="C746" t="s">
        <v>2081</v>
      </c>
      <c r="D746" t="s">
        <v>30</v>
      </c>
      <c r="E746" t="s">
        <v>52</v>
      </c>
      <c r="F746" t="s">
        <v>52</v>
      </c>
      <c r="G746" t="s">
        <v>2082</v>
      </c>
      <c r="H746" t="s">
        <v>2083</v>
      </c>
      <c r="I746" t="s">
        <v>397</v>
      </c>
    </row>
    <row r="747" spans="1:9" x14ac:dyDescent="0.25">
      <c r="A747" t="str">
        <f>"8867619EAE"</f>
        <v>8867619EAE</v>
      </c>
      <c r="B747" t="s">
        <v>9</v>
      </c>
      <c r="C747" t="s">
        <v>2084</v>
      </c>
      <c r="D747" t="s">
        <v>30</v>
      </c>
      <c r="E747" t="s">
        <v>96</v>
      </c>
      <c r="F747" t="s">
        <v>96</v>
      </c>
      <c r="G747" t="s">
        <v>2085</v>
      </c>
      <c r="H747" t="s">
        <v>2083</v>
      </c>
      <c r="I747" t="s">
        <v>397</v>
      </c>
    </row>
    <row r="748" spans="1:9" x14ac:dyDescent="0.25">
      <c r="A748" t="str">
        <f>"88701821C0"</f>
        <v>88701821C0</v>
      </c>
      <c r="B748" t="s">
        <v>9</v>
      </c>
      <c r="C748" t="s">
        <v>2086</v>
      </c>
      <c r="D748" t="s">
        <v>30</v>
      </c>
      <c r="E748" t="s">
        <v>244</v>
      </c>
      <c r="F748" t="s">
        <v>244</v>
      </c>
      <c r="G748" t="s">
        <v>2087</v>
      </c>
      <c r="H748" t="s">
        <v>2083</v>
      </c>
      <c r="I748" t="s">
        <v>397</v>
      </c>
    </row>
    <row r="749" spans="1:9" x14ac:dyDescent="0.25">
      <c r="A749" t="str">
        <f>"886759393B"</f>
        <v>886759393B</v>
      </c>
      <c r="B749" t="s">
        <v>9</v>
      </c>
      <c r="C749" t="s">
        <v>2088</v>
      </c>
      <c r="D749" t="s">
        <v>30</v>
      </c>
      <c r="E749" t="s">
        <v>244</v>
      </c>
      <c r="F749" t="s">
        <v>244</v>
      </c>
      <c r="G749" t="s">
        <v>2089</v>
      </c>
      <c r="H749" t="s">
        <v>2083</v>
      </c>
      <c r="I749" t="s">
        <v>397</v>
      </c>
    </row>
    <row r="750" spans="1:9" x14ac:dyDescent="0.25">
      <c r="A750" t="str">
        <f>"88628764A5"</f>
        <v>88628764A5</v>
      </c>
      <c r="B750" t="s">
        <v>9</v>
      </c>
      <c r="C750" t="s">
        <v>2090</v>
      </c>
      <c r="D750" t="s">
        <v>30</v>
      </c>
      <c r="E750" t="s">
        <v>450</v>
      </c>
      <c r="F750" t="s">
        <v>450</v>
      </c>
      <c r="G750" t="s">
        <v>2091</v>
      </c>
      <c r="H750" t="s">
        <v>2092</v>
      </c>
      <c r="I750" t="s">
        <v>397</v>
      </c>
    </row>
    <row r="751" spans="1:9" x14ac:dyDescent="0.25">
      <c r="A751" t="str">
        <f>"8860258434"</f>
        <v>8860258434</v>
      </c>
      <c r="B751" t="s">
        <v>9</v>
      </c>
      <c r="C751" t="s">
        <v>2093</v>
      </c>
      <c r="D751" t="s">
        <v>30</v>
      </c>
      <c r="E751" t="s">
        <v>680</v>
      </c>
      <c r="F751" t="s">
        <v>680</v>
      </c>
      <c r="G751" t="s">
        <v>2094</v>
      </c>
      <c r="H751" t="s">
        <v>2095</v>
      </c>
      <c r="I751" t="s">
        <v>2094</v>
      </c>
    </row>
    <row r="752" spans="1:9" x14ac:dyDescent="0.25">
      <c r="A752" t="str">
        <f>"886039988E"</f>
        <v>886039988E</v>
      </c>
      <c r="B752" t="s">
        <v>9</v>
      </c>
      <c r="C752" t="s">
        <v>2096</v>
      </c>
      <c r="D752" t="s">
        <v>30</v>
      </c>
      <c r="E752" t="s">
        <v>233</v>
      </c>
      <c r="F752" t="s">
        <v>233</v>
      </c>
      <c r="G752" t="s">
        <v>2097</v>
      </c>
      <c r="H752" t="s">
        <v>2095</v>
      </c>
      <c r="I752" t="s">
        <v>2097</v>
      </c>
    </row>
    <row r="753" spans="1:9" x14ac:dyDescent="0.25">
      <c r="A753" t="str">
        <f>"886007907E"</f>
        <v>886007907E</v>
      </c>
      <c r="B753" t="s">
        <v>9</v>
      </c>
      <c r="C753" t="s">
        <v>2098</v>
      </c>
      <c r="D753" t="s">
        <v>30</v>
      </c>
      <c r="E753" t="s">
        <v>2099</v>
      </c>
      <c r="F753" t="s">
        <v>2099</v>
      </c>
      <c r="G753" t="s">
        <v>2100</v>
      </c>
      <c r="H753" t="s">
        <v>2095</v>
      </c>
      <c r="I753" t="s">
        <v>2100</v>
      </c>
    </row>
    <row r="754" spans="1:9" x14ac:dyDescent="0.25">
      <c r="A754" t="str">
        <f>"864775512F"</f>
        <v>864775512F</v>
      </c>
      <c r="B754" t="s">
        <v>9</v>
      </c>
      <c r="C754" t="s">
        <v>2101</v>
      </c>
      <c r="D754" t="s">
        <v>11</v>
      </c>
      <c r="E754" t="s">
        <v>2102</v>
      </c>
      <c r="F754" t="s">
        <v>2102</v>
      </c>
      <c r="G754" t="s">
        <v>2103</v>
      </c>
      <c r="H754" t="s">
        <v>2104</v>
      </c>
      <c r="I754" t="s">
        <v>2105</v>
      </c>
    </row>
    <row r="755" spans="1:9" x14ac:dyDescent="0.25">
      <c r="A755" t="str">
        <f>"8853649648"</f>
        <v>8853649648</v>
      </c>
      <c r="B755" t="s">
        <v>9</v>
      </c>
      <c r="C755" t="s">
        <v>2106</v>
      </c>
      <c r="D755" t="s">
        <v>30</v>
      </c>
      <c r="E755" t="s">
        <v>2107</v>
      </c>
      <c r="F755" t="s">
        <v>2107</v>
      </c>
      <c r="G755" t="s">
        <v>667</v>
      </c>
      <c r="H755" t="s">
        <v>2108</v>
      </c>
    </row>
    <row r="756" spans="1:9" x14ac:dyDescent="0.25">
      <c r="A756" t="str">
        <f>"88630693EA"</f>
        <v>88630693EA</v>
      </c>
      <c r="B756" t="s">
        <v>9</v>
      </c>
      <c r="C756" t="s">
        <v>2109</v>
      </c>
      <c r="D756" t="s">
        <v>30</v>
      </c>
      <c r="E756" t="s">
        <v>680</v>
      </c>
      <c r="F756" t="s">
        <v>680</v>
      </c>
      <c r="G756" t="s">
        <v>2110</v>
      </c>
      <c r="H756" t="s">
        <v>2111</v>
      </c>
      <c r="I756" t="s">
        <v>2110</v>
      </c>
    </row>
    <row r="757" spans="1:9" x14ac:dyDescent="0.25">
      <c r="A757" t="str">
        <f>"8833508966"</f>
        <v>8833508966</v>
      </c>
      <c r="B757" t="s">
        <v>9</v>
      </c>
      <c r="C757" t="s">
        <v>2112</v>
      </c>
      <c r="D757" t="s">
        <v>30</v>
      </c>
      <c r="E757" t="s">
        <v>96</v>
      </c>
      <c r="F757" t="s">
        <v>96</v>
      </c>
      <c r="G757" t="s">
        <v>822</v>
      </c>
      <c r="H757" t="s">
        <v>2111</v>
      </c>
      <c r="I757" t="s">
        <v>822</v>
      </c>
    </row>
    <row r="758" spans="1:9" x14ac:dyDescent="0.25">
      <c r="A758" t="str">
        <f>"88336839D0"</f>
        <v>88336839D0</v>
      </c>
      <c r="B758" t="s">
        <v>9</v>
      </c>
      <c r="C758" t="s">
        <v>2113</v>
      </c>
      <c r="D758" t="s">
        <v>30</v>
      </c>
      <c r="E758" t="s">
        <v>2114</v>
      </c>
      <c r="F758" t="s">
        <v>2114</v>
      </c>
      <c r="G758" t="s">
        <v>699</v>
      </c>
      <c r="H758" t="s">
        <v>2111</v>
      </c>
      <c r="I758" t="s">
        <v>699</v>
      </c>
    </row>
    <row r="759" spans="1:9" x14ac:dyDescent="0.25">
      <c r="A759" t="str">
        <f>"8837858F20"</f>
        <v>8837858F20</v>
      </c>
      <c r="B759" t="s">
        <v>9</v>
      </c>
      <c r="C759" t="s">
        <v>2115</v>
      </c>
      <c r="D759" t="s">
        <v>30</v>
      </c>
      <c r="E759" t="s">
        <v>821</v>
      </c>
      <c r="F759" t="s">
        <v>821</v>
      </c>
      <c r="G759" t="s">
        <v>718</v>
      </c>
      <c r="H759" t="s">
        <v>2116</v>
      </c>
      <c r="I759" t="s">
        <v>718</v>
      </c>
    </row>
    <row r="760" spans="1:9" x14ac:dyDescent="0.25">
      <c r="A760" t="str">
        <f>"8833556105"</f>
        <v>8833556105</v>
      </c>
      <c r="B760" t="s">
        <v>9</v>
      </c>
      <c r="C760" t="s">
        <v>2117</v>
      </c>
      <c r="D760" t="s">
        <v>30</v>
      </c>
      <c r="E760" t="s">
        <v>2118</v>
      </c>
      <c r="F760" t="s">
        <v>2118</v>
      </c>
      <c r="G760" t="s">
        <v>2119</v>
      </c>
      <c r="H760" t="s">
        <v>2120</v>
      </c>
      <c r="I760" t="s">
        <v>2119</v>
      </c>
    </row>
    <row r="761" spans="1:9" x14ac:dyDescent="0.25">
      <c r="A761" t="str">
        <f>"8747133A7E"</f>
        <v>8747133A7E</v>
      </c>
      <c r="B761" t="s">
        <v>9</v>
      </c>
      <c r="C761" t="s">
        <v>2121</v>
      </c>
      <c r="D761" t="s">
        <v>30</v>
      </c>
      <c r="E761" t="s">
        <v>2122</v>
      </c>
      <c r="F761" t="s">
        <v>2122</v>
      </c>
      <c r="G761" t="s">
        <v>855</v>
      </c>
      <c r="H761" t="s">
        <v>2123</v>
      </c>
      <c r="I761" t="s">
        <v>2124</v>
      </c>
    </row>
    <row r="762" spans="1:9" x14ac:dyDescent="0.25">
      <c r="A762" t="str">
        <f>"8848984C98"</f>
        <v>8848984C98</v>
      </c>
      <c r="B762" t="s">
        <v>9</v>
      </c>
      <c r="C762" t="s">
        <v>2125</v>
      </c>
      <c r="D762" t="s">
        <v>30</v>
      </c>
      <c r="E762" t="s">
        <v>2126</v>
      </c>
      <c r="F762" t="s">
        <v>2126</v>
      </c>
      <c r="G762" t="s">
        <v>2127</v>
      </c>
      <c r="H762" t="s">
        <v>2128</v>
      </c>
      <c r="I762" t="s">
        <v>2127</v>
      </c>
    </row>
    <row r="763" spans="1:9" x14ac:dyDescent="0.25">
      <c r="A763" t="str">
        <f>"883375553C"</f>
        <v>883375553C</v>
      </c>
      <c r="B763" t="s">
        <v>9</v>
      </c>
      <c r="C763" t="s">
        <v>2129</v>
      </c>
      <c r="D763" t="s">
        <v>30</v>
      </c>
      <c r="E763" t="s">
        <v>892</v>
      </c>
      <c r="F763" t="s">
        <v>892</v>
      </c>
      <c r="G763" t="s">
        <v>2130</v>
      </c>
      <c r="H763" t="s">
        <v>2128</v>
      </c>
      <c r="I763" t="s">
        <v>2130</v>
      </c>
    </row>
    <row r="764" spans="1:9" x14ac:dyDescent="0.25">
      <c r="A764" t="str">
        <f>"88510662BA"</f>
        <v>88510662BA</v>
      </c>
      <c r="B764" t="s">
        <v>9</v>
      </c>
      <c r="C764" t="s">
        <v>2131</v>
      </c>
      <c r="D764" t="s">
        <v>30</v>
      </c>
      <c r="E764" t="s">
        <v>755</v>
      </c>
      <c r="F764" t="s">
        <v>755</v>
      </c>
      <c r="G764" t="s">
        <v>2132</v>
      </c>
      <c r="H764" t="s">
        <v>2128</v>
      </c>
      <c r="I764" t="s">
        <v>2132</v>
      </c>
    </row>
    <row r="765" spans="1:9" x14ac:dyDescent="0.25">
      <c r="A765" t="str">
        <f>"88284760DF"</f>
        <v>88284760DF</v>
      </c>
      <c r="B765" t="s">
        <v>9</v>
      </c>
      <c r="C765" t="s">
        <v>2133</v>
      </c>
      <c r="D765" t="s">
        <v>30</v>
      </c>
      <c r="E765" t="s">
        <v>1612</v>
      </c>
      <c r="F765" t="s">
        <v>1612</v>
      </c>
      <c r="G765" t="s">
        <v>2134</v>
      </c>
      <c r="H765" t="s">
        <v>2135</v>
      </c>
      <c r="I765" t="s">
        <v>2134</v>
      </c>
    </row>
    <row r="766" spans="1:9" x14ac:dyDescent="0.25">
      <c r="A766" t="str">
        <f>"881923354D"</f>
        <v>881923354D</v>
      </c>
      <c r="B766" t="s">
        <v>9</v>
      </c>
      <c r="C766" t="s">
        <v>2136</v>
      </c>
      <c r="D766" t="s">
        <v>30</v>
      </c>
      <c r="E766" t="s">
        <v>2137</v>
      </c>
      <c r="F766" t="s">
        <v>2137</v>
      </c>
      <c r="G766" t="s">
        <v>2138</v>
      </c>
      <c r="H766" t="s">
        <v>2139</v>
      </c>
      <c r="I766" t="s">
        <v>2138</v>
      </c>
    </row>
    <row r="767" spans="1:9" x14ac:dyDescent="0.25">
      <c r="A767" t="str">
        <f>"8758298825"</f>
        <v>8758298825</v>
      </c>
      <c r="B767" t="s">
        <v>9</v>
      </c>
      <c r="C767" t="s">
        <v>2140</v>
      </c>
      <c r="D767" t="s">
        <v>30</v>
      </c>
      <c r="E767" t="s">
        <v>2141</v>
      </c>
      <c r="F767" t="s">
        <v>2141</v>
      </c>
      <c r="G767" t="s">
        <v>2142</v>
      </c>
      <c r="H767" t="s">
        <v>2143</v>
      </c>
      <c r="I767" t="s">
        <v>2144</v>
      </c>
    </row>
    <row r="768" spans="1:9" x14ac:dyDescent="0.25">
      <c r="A768" t="str">
        <f>"88511296B6"</f>
        <v>88511296B6</v>
      </c>
      <c r="B768" t="s">
        <v>9</v>
      </c>
      <c r="C768" t="s">
        <v>2145</v>
      </c>
      <c r="D768" t="s">
        <v>30</v>
      </c>
      <c r="E768" t="s">
        <v>2146</v>
      </c>
      <c r="F768" t="s">
        <v>2146</v>
      </c>
      <c r="G768" t="s">
        <v>2147</v>
      </c>
      <c r="H768" t="s">
        <v>2148</v>
      </c>
      <c r="I768" t="s">
        <v>2147</v>
      </c>
    </row>
    <row r="769" spans="1:9" x14ac:dyDescent="0.25">
      <c r="A769" t="str">
        <f>"88117305A1"</f>
        <v>88117305A1</v>
      </c>
      <c r="B769" t="s">
        <v>9</v>
      </c>
      <c r="C769" t="s">
        <v>2149</v>
      </c>
      <c r="D769" t="s">
        <v>30</v>
      </c>
      <c r="E769" t="s">
        <v>355</v>
      </c>
      <c r="F769" t="s">
        <v>355</v>
      </c>
      <c r="G769" t="s">
        <v>2150</v>
      </c>
      <c r="H769" t="s">
        <v>2151</v>
      </c>
      <c r="I769" t="s">
        <v>397</v>
      </c>
    </row>
    <row r="770" spans="1:9" x14ac:dyDescent="0.25">
      <c r="A770" t="str">
        <f>"88075181C8"</f>
        <v>88075181C8</v>
      </c>
      <c r="B770" t="s">
        <v>9</v>
      </c>
      <c r="C770" t="s">
        <v>2152</v>
      </c>
      <c r="D770" t="s">
        <v>30</v>
      </c>
      <c r="E770" t="s">
        <v>450</v>
      </c>
      <c r="F770" t="s">
        <v>450</v>
      </c>
      <c r="G770" t="s">
        <v>2153</v>
      </c>
      <c r="H770" t="s">
        <v>2154</v>
      </c>
      <c r="I770" t="s">
        <v>397</v>
      </c>
    </row>
    <row r="771" spans="1:9" x14ac:dyDescent="0.25">
      <c r="A771" t="str">
        <f>"8781315A5F"</f>
        <v>8781315A5F</v>
      </c>
      <c r="B771" t="s">
        <v>9</v>
      </c>
      <c r="C771" t="s">
        <v>2155</v>
      </c>
      <c r="D771" t="s">
        <v>30</v>
      </c>
      <c r="E771" t="s">
        <v>2156</v>
      </c>
      <c r="F771" t="s">
        <v>2156</v>
      </c>
      <c r="G771" t="s">
        <v>345</v>
      </c>
      <c r="H771" t="s">
        <v>2157</v>
      </c>
      <c r="I771" t="s">
        <v>345</v>
      </c>
    </row>
    <row r="772" spans="1:9" x14ac:dyDescent="0.25">
      <c r="A772" t="str">
        <f>"879068813A"</f>
        <v>879068813A</v>
      </c>
      <c r="B772" t="s">
        <v>9</v>
      </c>
      <c r="C772" t="s">
        <v>2158</v>
      </c>
      <c r="D772" t="s">
        <v>30</v>
      </c>
      <c r="E772" t="s">
        <v>2159</v>
      </c>
      <c r="F772" t="s">
        <v>2159</v>
      </c>
      <c r="G772" t="s">
        <v>2160</v>
      </c>
      <c r="H772" t="s">
        <v>2161</v>
      </c>
    </row>
    <row r="773" spans="1:9" x14ac:dyDescent="0.25">
      <c r="A773" t="str">
        <f>"8748038554"</f>
        <v>8748038554</v>
      </c>
      <c r="B773" t="s">
        <v>9</v>
      </c>
      <c r="C773" t="s">
        <v>2162</v>
      </c>
      <c r="D773" t="s">
        <v>30</v>
      </c>
      <c r="E773" t="s">
        <v>2163</v>
      </c>
      <c r="F773" t="s">
        <v>2163</v>
      </c>
      <c r="G773" t="s">
        <v>2164</v>
      </c>
      <c r="H773" t="s">
        <v>2165</v>
      </c>
    </row>
    <row r="774" spans="1:9" x14ac:dyDescent="0.25">
      <c r="A774" t="str">
        <f>"8786813379"</f>
        <v>8786813379</v>
      </c>
      <c r="B774" t="s">
        <v>9</v>
      </c>
      <c r="C774" t="s">
        <v>2166</v>
      </c>
      <c r="D774" t="s">
        <v>30</v>
      </c>
      <c r="E774" t="s">
        <v>2167</v>
      </c>
      <c r="F774" t="s">
        <v>2167</v>
      </c>
      <c r="G774" t="s">
        <v>2168</v>
      </c>
      <c r="H774" t="s">
        <v>2169</v>
      </c>
      <c r="I774" t="s">
        <v>2168</v>
      </c>
    </row>
    <row r="775" spans="1:9" x14ac:dyDescent="0.25">
      <c r="A775" t="str">
        <f>"8733198EF6"</f>
        <v>8733198EF6</v>
      </c>
      <c r="B775" t="s">
        <v>9</v>
      </c>
      <c r="C775" t="s">
        <v>2170</v>
      </c>
      <c r="D775" t="s">
        <v>30</v>
      </c>
      <c r="E775" t="s">
        <v>2171</v>
      </c>
      <c r="F775" t="s">
        <v>2171</v>
      </c>
      <c r="G775" t="s">
        <v>2172</v>
      </c>
      <c r="H775" t="s">
        <v>2173</v>
      </c>
      <c r="I775" t="s">
        <v>397</v>
      </c>
    </row>
    <row r="776" spans="1:9" x14ac:dyDescent="0.25">
      <c r="A776" t="str">
        <f>"8774144CAC"</f>
        <v>8774144CAC</v>
      </c>
      <c r="B776" t="s">
        <v>9</v>
      </c>
      <c r="C776" t="s">
        <v>2174</v>
      </c>
      <c r="D776" t="s">
        <v>30</v>
      </c>
      <c r="E776" t="s">
        <v>1039</v>
      </c>
      <c r="F776" t="s">
        <v>1039</v>
      </c>
      <c r="G776" t="s">
        <v>2175</v>
      </c>
      <c r="H776" t="s">
        <v>2176</v>
      </c>
      <c r="I776" t="s">
        <v>2175</v>
      </c>
    </row>
    <row r="777" spans="1:9" x14ac:dyDescent="0.25">
      <c r="A777" t="str">
        <f>"8747813BA5"</f>
        <v>8747813BA5</v>
      </c>
      <c r="B777" t="s">
        <v>9</v>
      </c>
      <c r="C777" t="s">
        <v>2177</v>
      </c>
      <c r="D777" t="s">
        <v>30</v>
      </c>
      <c r="E777" t="s">
        <v>2178</v>
      </c>
      <c r="F777" t="s">
        <v>2178</v>
      </c>
      <c r="G777" t="s">
        <v>2179</v>
      </c>
      <c r="H777" t="s">
        <v>2180</v>
      </c>
    </row>
    <row r="778" spans="1:9" x14ac:dyDescent="0.25">
      <c r="A778" t="str">
        <f>"8747671678"</f>
        <v>8747671678</v>
      </c>
      <c r="B778" t="s">
        <v>9</v>
      </c>
      <c r="C778" t="s">
        <v>2181</v>
      </c>
      <c r="D778" t="s">
        <v>30</v>
      </c>
      <c r="E778" t="s">
        <v>2182</v>
      </c>
      <c r="F778" t="s">
        <v>2182</v>
      </c>
      <c r="G778" t="s">
        <v>1869</v>
      </c>
      <c r="H778" t="s">
        <v>2183</v>
      </c>
      <c r="I778" t="s">
        <v>804</v>
      </c>
    </row>
    <row r="779" spans="1:9" x14ac:dyDescent="0.25">
      <c r="A779" t="str">
        <f>"8739969295"</f>
        <v>8739969295</v>
      </c>
      <c r="B779" t="s">
        <v>9</v>
      </c>
      <c r="C779" t="s">
        <v>2184</v>
      </c>
      <c r="D779" t="s">
        <v>30</v>
      </c>
      <c r="E779" t="s">
        <v>2185</v>
      </c>
      <c r="F779" t="s">
        <v>2185</v>
      </c>
      <c r="G779" t="s">
        <v>2124</v>
      </c>
      <c r="H779" t="s">
        <v>2186</v>
      </c>
    </row>
    <row r="780" spans="1:9" x14ac:dyDescent="0.25">
      <c r="A780" t="str">
        <f>"8712953C43"</f>
        <v>8712953C43</v>
      </c>
      <c r="B780" t="s">
        <v>9</v>
      </c>
      <c r="C780" t="s">
        <v>2187</v>
      </c>
      <c r="D780" t="s">
        <v>30</v>
      </c>
      <c r="E780" t="s">
        <v>1240</v>
      </c>
      <c r="F780" t="s">
        <v>1240</v>
      </c>
      <c r="G780" t="s">
        <v>78</v>
      </c>
      <c r="H780" t="s">
        <v>2188</v>
      </c>
      <c r="I780" t="s">
        <v>78</v>
      </c>
    </row>
    <row r="781" spans="1:9" x14ac:dyDescent="0.25">
      <c r="A781" t="str">
        <f>"871263128D"</f>
        <v>871263128D</v>
      </c>
      <c r="B781" t="s">
        <v>9</v>
      </c>
      <c r="C781" t="s">
        <v>2189</v>
      </c>
      <c r="D781" t="s">
        <v>30</v>
      </c>
      <c r="E781" t="s">
        <v>854</v>
      </c>
      <c r="F781" t="s">
        <v>854</v>
      </c>
      <c r="G781" t="s">
        <v>849</v>
      </c>
      <c r="H781" t="s">
        <v>2190</v>
      </c>
      <c r="I781" t="s">
        <v>849</v>
      </c>
    </row>
    <row r="782" spans="1:9" x14ac:dyDescent="0.25">
      <c r="A782" t="str">
        <f>"8739792085"</f>
        <v>8739792085</v>
      </c>
      <c r="B782" t="s">
        <v>9</v>
      </c>
      <c r="C782" t="s">
        <v>2191</v>
      </c>
      <c r="D782" t="s">
        <v>30</v>
      </c>
      <c r="E782" t="s">
        <v>2192</v>
      </c>
      <c r="F782" t="s">
        <v>2192</v>
      </c>
      <c r="G782" t="s">
        <v>718</v>
      </c>
      <c r="H782" t="s">
        <v>2193</v>
      </c>
      <c r="I782" t="s">
        <v>822</v>
      </c>
    </row>
    <row r="783" spans="1:9" x14ac:dyDescent="0.25">
      <c r="A783" t="str">
        <f>"843797553F"</f>
        <v>843797553F</v>
      </c>
      <c r="B783" t="s">
        <v>9</v>
      </c>
      <c r="C783" t="s">
        <v>2194</v>
      </c>
      <c r="D783" t="s">
        <v>24</v>
      </c>
      <c r="E783" t="s">
        <v>2195</v>
      </c>
      <c r="F783" t="s">
        <v>2196</v>
      </c>
      <c r="G783" t="s">
        <v>2197</v>
      </c>
      <c r="H783" t="s">
        <v>2198</v>
      </c>
    </row>
    <row r="784" spans="1:9" x14ac:dyDescent="0.25">
      <c r="A784" t="str">
        <f>"8670668D93"</f>
        <v>8670668D93</v>
      </c>
      <c r="B784" t="s">
        <v>9</v>
      </c>
      <c r="C784" t="s">
        <v>2199</v>
      </c>
      <c r="D784" t="s">
        <v>30</v>
      </c>
      <c r="E784" t="s">
        <v>2200</v>
      </c>
      <c r="F784" t="s">
        <v>2200</v>
      </c>
      <c r="G784" t="s">
        <v>1968</v>
      </c>
      <c r="H784" t="s">
        <v>2201</v>
      </c>
      <c r="I784" t="s">
        <v>1968</v>
      </c>
    </row>
    <row r="785" spans="1:9" x14ac:dyDescent="0.25">
      <c r="A785" t="str">
        <f>"8641856D29"</f>
        <v>8641856D29</v>
      </c>
      <c r="B785" t="s">
        <v>9</v>
      </c>
      <c r="C785" t="s">
        <v>2202</v>
      </c>
      <c r="D785" t="s">
        <v>30</v>
      </c>
      <c r="E785" t="s">
        <v>2203</v>
      </c>
      <c r="F785" t="s">
        <v>2203</v>
      </c>
      <c r="G785" t="s">
        <v>2204</v>
      </c>
      <c r="H785" t="s">
        <v>2205</v>
      </c>
    </row>
    <row r="786" spans="1:9" x14ac:dyDescent="0.25">
      <c r="A786" t="str">
        <f>"85654343BE"</f>
        <v>85654343BE</v>
      </c>
      <c r="B786" t="s">
        <v>9</v>
      </c>
      <c r="C786" t="s">
        <v>2206</v>
      </c>
      <c r="D786" t="s">
        <v>11</v>
      </c>
      <c r="E786" t="s">
        <v>2207</v>
      </c>
      <c r="F786" t="s">
        <v>2207</v>
      </c>
      <c r="G786" t="s">
        <v>2208</v>
      </c>
      <c r="H786" t="s">
        <v>2209</v>
      </c>
      <c r="I786" t="s">
        <v>2210</v>
      </c>
    </row>
    <row r="787" spans="1:9" x14ac:dyDescent="0.25">
      <c r="A787" t="str">
        <f>"8660201FEE"</f>
        <v>8660201FEE</v>
      </c>
      <c r="B787" t="s">
        <v>9</v>
      </c>
      <c r="C787" t="s">
        <v>2211</v>
      </c>
      <c r="D787" t="s">
        <v>30</v>
      </c>
      <c r="E787" t="s">
        <v>2212</v>
      </c>
      <c r="F787" t="s">
        <v>2212</v>
      </c>
      <c r="G787" t="s">
        <v>2213</v>
      </c>
      <c r="H787" t="s">
        <v>2214</v>
      </c>
      <c r="I787" t="s">
        <v>2213</v>
      </c>
    </row>
    <row r="788" spans="1:9" x14ac:dyDescent="0.25">
      <c r="A788" t="str">
        <f>"8565424B7B"</f>
        <v>8565424B7B</v>
      </c>
      <c r="B788" t="s">
        <v>9</v>
      </c>
      <c r="C788" t="s">
        <v>2215</v>
      </c>
      <c r="D788" t="s">
        <v>11</v>
      </c>
      <c r="E788" t="s">
        <v>2216</v>
      </c>
      <c r="F788" t="s">
        <v>2216</v>
      </c>
      <c r="G788" t="s">
        <v>2217</v>
      </c>
      <c r="H788" t="s">
        <v>2218</v>
      </c>
      <c r="I788" t="s">
        <v>2219</v>
      </c>
    </row>
    <row r="789" spans="1:9" x14ac:dyDescent="0.25">
      <c r="A789" t="str">
        <f>"8642629B10"</f>
        <v>8642629B10</v>
      </c>
      <c r="B789" t="s">
        <v>9</v>
      </c>
      <c r="C789" t="s">
        <v>2220</v>
      </c>
      <c r="D789" t="s">
        <v>30</v>
      </c>
      <c r="E789" t="s">
        <v>2221</v>
      </c>
      <c r="F789" t="s">
        <v>2222</v>
      </c>
      <c r="G789" t="s">
        <v>2051</v>
      </c>
      <c r="H789" t="s">
        <v>2223</v>
      </c>
      <c r="I789" t="s">
        <v>2224</v>
      </c>
    </row>
    <row r="790" spans="1:9" x14ac:dyDescent="0.25">
      <c r="A790" t="str">
        <f>"Z812C33FC6"</f>
        <v>Z812C33FC6</v>
      </c>
      <c r="B790" t="s">
        <v>9</v>
      </c>
      <c r="C790" t="s">
        <v>2225</v>
      </c>
      <c r="D790" t="s">
        <v>30</v>
      </c>
      <c r="E790" t="s">
        <v>233</v>
      </c>
      <c r="F790" t="s">
        <v>233</v>
      </c>
      <c r="G790" t="s">
        <v>2226</v>
      </c>
      <c r="H790" t="s">
        <v>2223</v>
      </c>
    </row>
    <row r="791" spans="1:9" x14ac:dyDescent="0.25">
      <c r="A791" t="str">
        <f>"85460496BB"</f>
        <v>85460496BB</v>
      </c>
      <c r="B791" t="s">
        <v>9</v>
      </c>
      <c r="C791" t="s">
        <v>2227</v>
      </c>
      <c r="D791" t="s">
        <v>20</v>
      </c>
      <c r="E791" t="s">
        <v>2228</v>
      </c>
      <c r="F791" t="s">
        <v>2229</v>
      </c>
      <c r="G791" t="s">
        <v>2230</v>
      </c>
      <c r="H791" t="s">
        <v>2231</v>
      </c>
      <c r="I791" t="s">
        <v>2232</v>
      </c>
    </row>
    <row r="792" spans="1:9" x14ac:dyDescent="0.25">
      <c r="A792" t="str">
        <f>"8604848135"</f>
        <v>8604848135</v>
      </c>
      <c r="B792" t="s">
        <v>9</v>
      </c>
      <c r="C792" t="s">
        <v>2233</v>
      </c>
      <c r="D792" t="s">
        <v>30</v>
      </c>
      <c r="E792" t="s">
        <v>2234</v>
      </c>
      <c r="F792" t="s">
        <v>2234</v>
      </c>
      <c r="G792" t="s">
        <v>2235</v>
      </c>
      <c r="H792" t="s">
        <v>2236</v>
      </c>
    </row>
    <row r="793" spans="1:9" x14ac:dyDescent="0.25">
      <c r="A793" t="str">
        <f>"86178098F4"</f>
        <v>86178098F4</v>
      </c>
      <c r="B793" t="s">
        <v>9</v>
      </c>
      <c r="C793" t="s">
        <v>2237</v>
      </c>
      <c r="D793" t="s">
        <v>30</v>
      </c>
      <c r="E793" t="s">
        <v>2238</v>
      </c>
      <c r="F793" t="s">
        <v>2238</v>
      </c>
      <c r="G793" t="s">
        <v>2239</v>
      </c>
      <c r="H793" t="s">
        <v>2240</v>
      </c>
      <c r="I793" t="s">
        <v>2239</v>
      </c>
    </row>
    <row r="794" spans="1:9" x14ac:dyDescent="0.25">
      <c r="A794" t="str">
        <f>"Z992F4531B"</f>
        <v>Z992F4531B</v>
      </c>
      <c r="B794" t="s">
        <v>9</v>
      </c>
      <c r="C794" t="s">
        <v>2241</v>
      </c>
      <c r="D794" t="s">
        <v>11</v>
      </c>
      <c r="E794" t="s">
        <v>2216</v>
      </c>
      <c r="F794" t="s">
        <v>2216</v>
      </c>
      <c r="G794" t="s">
        <v>2242</v>
      </c>
      <c r="H794" t="s">
        <v>2243</v>
      </c>
      <c r="I794" t="s">
        <v>2244</v>
      </c>
    </row>
    <row r="795" spans="1:9" x14ac:dyDescent="0.25">
      <c r="A795" t="str">
        <f>"8592395CA7"</f>
        <v>8592395CA7</v>
      </c>
      <c r="B795" t="s">
        <v>9</v>
      </c>
      <c r="C795" t="s">
        <v>2245</v>
      </c>
      <c r="D795" t="s">
        <v>30</v>
      </c>
      <c r="E795" t="s">
        <v>2246</v>
      </c>
      <c r="F795" t="s">
        <v>2246</v>
      </c>
      <c r="G795" t="s">
        <v>2247</v>
      </c>
      <c r="H795" t="s">
        <v>2248</v>
      </c>
      <c r="I795" t="s">
        <v>2249</v>
      </c>
    </row>
    <row r="796" spans="1:9" x14ac:dyDescent="0.25">
      <c r="A796" t="str">
        <f>"ZED2FD0FA5"</f>
        <v>ZED2FD0FA5</v>
      </c>
      <c r="B796" t="s">
        <v>9</v>
      </c>
      <c r="C796" t="s">
        <v>2250</v>
      </c>
      <c r="D796" t="s">
        <v>30</v>
      </c>
      <c r="E796" t="s">
        <v>2251</v>
      </c>
      <c r="F796" t="s">
        <v>2251</v>
      </c>
      <c r="G796" t="s">
        <v>2252</v>
      </c>
      <c r="H796" t="s">
        <v>2253</v>
      </c>
      <c r="I796" t="s">
        <v>2254</v>
      </c>
    </row>
    <row r="797" spans="1:9" x14ac:dyDescent="0.25">
      <c r="A797" t="str">
        <f>"Z2C2EAFBC7"</f>
        <v>Z2C2EAFBC7</v>
      </c>
      <c r="B797" t="s">
        <v>9</v>
      </c>
      <c r="C797" t="s">
        <v>2255</v>
      </c>
      <c r="D797" t="s">
        <v>11</v>
      </c>
      <c r="E797" t="s">
        <v>2216</v>
      </c>
      <c r="F797" t="s">
        <v>2216</v>
      </c>
      <c r="G797" t="s">
        <v>748</v>
      </c>
      <c r="H797" t="s">
        <v>2256</v>
      </c>
      <c r="I797" t="s">
        <v>2257</v>
      </c>
    </row>
    <row r="798" spans="1:9" x14ac:dyDescent="0.25">
      <c r="A798" t="str">
        <f>"Z2C300A93B"</f>
        <v>Z2C300A93B</v>
      </c>
      <c r="B798" t="s">
        <v>9</v>
      </c>
      <c r="C798" t="s">
        <v>2258</v>
      </c>
      <c r="D798" t="s">
        <v>30</v>
      </c>
      <c r="E798" t="s">
        <v>1172</v>
      </c>
      <c r="F798" t="s">
        <v>1172</v>
      </c>
      <c r="G798" t="s">
        <v>2259</v>
      </c>
      <c r="H798" t="s">
        <v>2260</v>
      </c>
    </row>
    <row r="799" spans="1:9" x14ac:dyDescent="0.25">
      <c r="A799" t="str">
        <f>"Z8A2FC36C0"</f>
        <v>Z8A2FC36C0</v>
      </c>
      <c r="B799" t="s">
        <v>9</v>
      </c>
      <c r="C799" t="s">
        <v>2261</v>
      </c>
      <c r="D799" t="s">
        <v>30</v>
      </c>
      <c r="E799" t="s">
        <v>2137</v>
      </c>
      <c r="F799" t="s">
        <v>2137</v>
      </c>
      <c r="G799" t="s">
        <v>2262</v>
      </c>
      <c r="H799" t="s">
        <v>2263</v>
      </c>
      <c r="I799" t="s">
        <v>397</v>
      </c>
    </row>
    <row r="800" spans="1:9" x14ac:dyDescent="0.25">
      <c r="A800" t="str">
        <f>"Z2D2FE37F6"</f>
        <v>Z2D2FE37F6</v>
      </c>
      <c r="B800" t="s">
        <v>9</v>
      </c>
      <c r="C800" t="s">
        <v>2264</v>
      </c>
      <c r="D800" t="s">
        <v>30</v>
      </c>
      <c r="E800" t="s">
        <v>1387</v>
      </c>
      <c r="F800" t="s">
        <v>1387</v>
      </c>
      <c r="G800" t="s">
        <v>2265</v>
      </c>
      <c r="H800" t="s">
        <v>2266</v>
      </c>
      <c r="I800" t="s">
        <v>2265</v>
      </c>
    </row>
    <row r="801" spans="1:9" x14ac:dyDescent="0.25">
      <c r="A801" t="str">
        <f>"Z0C2FE38DF"</f>
        <v>Z0C2FE38DF</v>
      </c>
      <c r="B801" t="s">
        <v>9</v>
      </c>
      <c r="C801" t="s">
        <v>2267</v>
      </c>
      <c r="D801" t="s">
        <v>30</v>
      </c>
      <c r="E801" t="s">
        <v>1387</v>
      </c>
      <c r="F801" t="s">
        <v>1387</v>
      </c>
      <c r="G801" t="s">
        <v>2268</v>
      </c>
      <c r="H801" t="s">
        <v>2266</v>
      </c>
      <c r="I801" t="s">
        <v>2268</v>
      </c>
    </row>
    <row r="802" spans="1:9" x14ac:dyDescent="0.25">
      <c r="A802" t="str">
        <f>"Z9A2F825E2"</f>
        <v>Z9A2F825E2</v>
      </c>
      <c r="B802" t="s">
        <v>9</v>
      </c>
      <c r="C802" t="s">
        <v>2269</v>
      </c>
      <c r="D802" t="s">
        <v>30</v>
      </c>
      <c r="E802" t="s">
        <v>2270</v>
      </c>
      <c r="F802" t="s">
        <v>2270</v>
      </c>
      <c r="G802" t="s">
        <v>195</v>
      </c>
      <c r="H802" t="s">
        <v>2271</v>
      </c>
    </row>
    <row r="803" spans="1:9" x14ac:dyDescent="0.25">
      <c r="A803" t="str">
        <f>"ZD42E7F272"</f>
        <v>ZD42E7F272</v>
      </c>
      <c r="B803" t="s">
        <v>9</v>
      </c>
      <c r="C803" t="s">
        <v>2272</v>
      </c>
      <c r="D803" t="s">
        <v>11</v>
      </c>
      <c r="E803" t="s">
        <v>364</v>
      </c>
      <c r="F803" t="s">
        <v>364</v>
      </c>
      <c r="G803" t="s">
        <v>2273</v>
      </c>
      <c r="H803" t="s">
        <v>2271</v>
      </c>
      <c r="I803" t="s">
        <v>2274</v>
      </c>
    </row>
    <row r="804" spans="1:9" x14ac:dyDescent="0.25">
      <c r="A804" t="str">
        <f>"ZCC2FA75D6"</f>
        <v>ZCC2FA75D6</v>
      </c>
      <c r="B804" t="s">
        <v>9</v>
      </c>
      <c r="C804" t="s">
        <v>2275</v>
      </c>
      <c r="D804" t="s">
        <v>30</v>
      </c>
      <c r="E804" t="s">
        <v>686</v>
      </c>
      <c r="F804" t="s">
        <v>686</v>
      </c>
      <c r="G804" t="s">
        <v>2276</v>
      </c>
      <c r="H804" t="s">
        <v>2277</v>
      </c>
      <c r="I804" t="s">
        <v>2278</v>
      </c>
    </row>
    <row r="805" spans="1:9" x14ac:dyDescent="0.25">
      <c r="A805" t="str">
        <f>"Z122F8CE25"</f>
        <v>Z122F8CE25</v>
      </c>
      <c r="B805" t="s">
        <v>9</v>
      </c>
      <c r="C805" t="s">
        <v>2225</v>
      </c>
      <c r="D805" t="s">
        <v>30</v>
      </c>
      <c r="E805" t="s">
        <v>1846</v>
      </c>
      <c r="F805" t="s">
        <v>1846</v>
      </c>
      <c r="G805" t="s">
        <v>2279</v>
      </c>
      <c r="H805" t="s">
        <v>2280</v>
      </c>
    </row>
    <row r="806" spans="1:9" x14ac:dyDescent="0.25">
      <c r="A806" t="str">
        <f>"Z202F838F7"</f>
        <v>Z202F838F7</v>
      </c>
      <c r="B806" t="s">
        <v>9</v>
      </c>
      <c r="C806" t="s">
        <v>2225</v>
      </c>
      <c r="D806" t="s">
        <v>30</v>
      </c>
      <c r="E806" t="s">
        <v>81</v>
      </c>
      <c r="F806" t="s">
        <v>81</v>
      </c>
      <c r="G806" t="s">
        <v>2281</v>
      </c>
      <c r="H806" t="s">
        <v>2282</v>
      </c>
    </row>
    <row r="807" spans="1:9" x14ac:dyDescent="0.25">
      <c r="A807" t="str">
        <f>"Z2F2F8352A"</f>
        <v>Z2F2F8352A</v>
      </c>
      <c r="B807" t="s">
        <v>9</v>
      </c>
      <c r="C807" t="s">
        <v>2225</v>
      </c>
      <c r="D807" t="s">
        <v>30</v>
      </c>
      <c r="E807" t="s">
        <v>1846</v>
      </c>
      <c r="F807" t="s">
        <v>1846</v>
      </c>
      <c r="G807" t="s">
        <v>2283</v>
      </c>
      <c r="H807" t="s">
        <v>2282</v>
      </c>
    </row>
    <row r="808" spans="1:9" x14ac:dyDescent="0.25">
      <c r="A808" t="str">
        <f>"ZCF2F83912"</f>
        <v>ZCF2F83912</v>
      </c>
      <c r="B808" t="s">
        <v>9</v>
      </c>
      <c r="C808" t="s">
        <v>2225</v>
      </c>
      <c r="D808" t="s">
        <v>30</v>
      </c>
      <c r="E808" t="s">
        <v>101</v>
      </c>
      <c r="F808" t="s">
        <v>101</v>
      </c>
      <c r="G808" t="s">
        <v>2284</v>
      </c>
      <c r="H808" t="s">
        <v>2282</v>
      </c>
    </row>
    <row r="809" spans="1:9" x14ac:dyDescent="0.25">
      <c r="A809" t="str">
        <f>"Z612F838D6"</f>
        <v>Z612F838D6</v>
      </c>
      <c r="B809" t="s">
        <v>9</v>
      </c>
      <c r="C809" t="s">
        <v>2225</v>
      </c>
      <c r="D809" t="s">
        <v>30</v>
      </c>
      <c r="E809" t="s">
        <v>244</v>
      </c>
      <c r="F809" t="s">
        <v>244</v>
      </c>
      <c r="G809" t="s">
        <v>1410</v>
      </c>
      <c r="H809" t="s">
        <v>2282</v>
      </c>
    </row>
    <row r="810" spans="1:9" x14ac:dyDescent="0.25">
      <c r="A810" t="str">
        <f>"ZC72F835EF"</f>
        <v>ZC72F835EF</v>
      </c>
      <c r="B810" t="s">
        <v>9</v>
      </c>
      <c r="C810" t="s">
        <v>2225</v>
      </c>
      <c r="D810" t="s">
        <v>30</v>
      </c>
      <c r="E810" t="s">
        <v>197</v>
      </c>
      <c r="F810" t="s">
        <v>197</v>
      </c>
      <c r="G810" t="s">
        <v>2285</v>
      </c>
      <c r="H810" t="s">
        <v>2282</v>
      </c>
    </row>
    <row r="811" spans="1:9" x14ac:dyDescent="0.25">
      <c r="A811" t="str">
        <f>"ZB62F8373C"</f>
        <v>ZB62F8373C</v>
      </c>
      <c r="B811" t="s">
        <v>9</v>
      </c>
      <c r="C811" t="s">
        <v>2225</v>
      </c>
      <c r="D811" t="s">
        <v>30</v>
      </c>
      <c r="E811" t="s">
        <v>123</v>
      </c>
      <c r="F811" t="s">
        <v>123</v>
      </c>
      <c r="G811" t="s">
        <v>195</v>
      </c>
      <c r="H811" t="s">
        <v>2282</v>
      </c>
    </row>
    <row r="812" spans="1:9" x14ac:dyDescent="0.25">
      <c r="A812" t="str">
        <f>"Z802F83763"</f>
        <v>Z802F83763</v>
      </c>
      <c r="B812" t="s">
        <v>9</v>
      </c>
      <c r="C812" t="s">
        <v>2225</v>
      </c>
      <c r="D812" t="s">
        <v>30</v>
      </c>
      <c r="E812" t="s">
        <v>1541</v>
      </c>
      <c r="F812" t="s">
        <v>1541</v>
      </c>
      <c r="G812" t="s">
        <v>2286</v>
      </c>
      <c r="H812" t="s">
        <v>2282</v>
      </c>
    </row>
    <row r="813" spans="1:9" x14ac:dyDescent="0.25">
      <c r="A813" t="str">
        <f>"Z7A2F837BB"</f>
        <v>Z7A2F837BB</v>
      </c>
      <c r="B813" t="s">
        <v>9</v>
      </c>
      <c r="C813" t="s">
        <v>2225</v>
      </c>
      <c r="D813" t="s">
        <v>30</v>
      </c>
      <c r="E813" t="s">
        <v>2287</v>
      </c>
      <c r="F813" t="s">
        <v>2287</v>
      </c>
      <c r="G813" t="s">
        <v>1663</v>
      </c>
      <c r="H813" t="s">
        <v>2282</v>
      </c>
    </row>
    <row r="814" spans="1:9" x14ac:dyDescent="0.25">
      <c r="A814" t="str">
        <f>"ZEC2F8361A"</f>
        <v>ZEC2F8361A</v>
      </c>
      <c r="B814" t="s">
        <v>9</v>
      </c>
      <c r="C814" t="s">
        <v>2225</v>
      </c>
      <c r="D814" t="s">
        <v>30</v>
      </c>
      <c r="E814" t="s">
        <v>197</v>
      </c>
      <c r="F814" t="s">
        <v>197</v>
      </c>
      <c r="G814" t="s">
        <v>2288</v>
      </c>
      <c r="H814" t="s">
        <v>2282</v>
      </c>
    </row>
    <row r="815" spans="1:9" x14ac:dyDescent="0.25">
      <c r="A815" t="str">
        <f>"Z7F2F0300E"</f>
        <v>Z7F2F0300E</v>
      </c>
      <c r="B815" t="s">
        <v>9</v>
      </c>
      <c r="C815" t="s">
        <v>2289</v>
      </c>
      <c r="D815" t="s">
        <v>30</v>
      </c>
      <c r="E815" t="s">
        <v>2270</v>
      </c>
      <c r="F815" t="s">
        <v>2270</v>
      </c>
      <c r="G815" t="s">
        <v>1086</v>
      </c>
      <c r="H815" t="s">
        <v>2282</v>
      </c>
    </row>
    <row r="816" spans="1:9" x14ac:dyDescent="0.25">
      <c r="A816" t="str">
        <f>"Z1E2EF9D50"</f>
        <v>Z1E2EF9D50</v>
      </c>
      <c r="B816" t="s">
        <v>9</v>
      </c>
      <c r="C816" t="s">
        <v>2225</v>
      </c>
      <c r="D816" t="s">
        <v>30</v>
      </c>
      <c r="E816" t="s">
        <v>1846</v>
      </c>
      <c r="F816" t="s">
        <v>1846</v>
      </c>
      <c r="G816" t="s">
        <v>2290</v>
      </c>
      <c r="H816" t="s">
        <v>2282</v>
      </c>
    </row>
    <row r="817" spans="1:9" x14ac:dyDescent="0.25">
      <c r="A817" t="str">
        <f>"ZC12F8383D"</f>
        <v>ZC12F8383D</v>
      </c>
      <c r="B817" t="s">
        <v>9</v>
      </c>
      <c r="C817" t="s">
        <v>2225</v>
      </c>
      <c r="D817" t="s">
        <v>30</v>
      </c>
      <c r="E817" t="s">
        <v>33</v>
      </c>
      <c r="F817" t="s">
        <v>33</v>
      </c>
      <c r="G817" t="s">
        <v>855</v>
      </c>
      <c r="H817" t="s">
        <v>2282</v>
      </c>
    </row>
    <row r="818" spans="1:9" x14ac:dyDescent="0.25">
      <c r="A818" t="str">
        <f>"ZBD2F8CE27"</f>
        <v>ZBD2F8CE27</v>
      </c>
      <c r="B818" t="s">
        <v>9</v>
      </c>
      <c r="C818" t="s">
        <v>2225</v>
      </c>
      <c r="D818" t="s">
        <v>30</v>
      </c>
      <c r="E818" t="s">
        <v>197</v>
      </c>
      <c r="F818" t="s">
        <v>197</v>
      </c>
      <c r="G818" t="s">
        <v>2291</v>
      </c>
      <c r="H818" t="s">
        <v>2282</v>
      </c>
    </row>
    <row r="819" spans="1:9" x14ac:dyDescent="0.25">
      <c r="A819" t="str">
        <f>"Z2B2F83707"</f>
        <v>Z2B2F83707</v>
      </c>
      <c r="B819" t="s">
        <v>9</v>
      </c>
      <c r="C819" t="s">
        <v>2225</v>
      </c>
      <c r="D819" t="s">
        <v>30</v>
      </c>
      <c r="E819" t="s">
        <v>1465</v>
      </c>
      <c r="F819" t="s">
        <v>1465</v>
      </c>
      <c r="G819" t="s">
        <v>2292</v>
      </c>
      <c r="H819" t="s">
        <v>2282</v>
      </c>
    </row>
    <row r="820" spans="1:9" x14ac:dyDescent="0.25">
      <c r="A820" t="str">
        <f>"Z682F834D7"</f>
        <v>Z682F834D7</v>
      </c>
      <c r="B820" t="s">
        <v>9</v>
      </c>
      <c r="C820" t="s">
        <v>2225</v>
      </c>
      <c r="D820" t="s">
        <v>30</v>
      </c>
      <c r="E820" t="s">
        <v>1846</v>
      </c>
      <c r="F820" t="s">
        <v>1846</v>
      </c>
      <c r="G820" t="s">
        <v>2293</v>
      </c>
      <c r="H820" t="s">
        <v>2282</v>
      </c>
    </row>
    <row r="821" spans="1:9" x14ac:dyDescent="0.25">
      <c r="A821" t="str">
        <f>"ZED2F83564"</f>
        <v>ZED2F83564</v>
      </c>
      <c r="B821" t="s">
        <v>9</v>
      </c>
      <c r="C821" t="s">
        <v>2225</v>
      </c>
      <c r="D821" t="s">
        <v>30</v>
      </c>
      <c r="E821" t="s">
        <v>1846</v>
      </c>
      <c r="F821" t="s">
        <v>1846</v>
      </c>
      <c r="G821" t="s">
        <v>2294</v>
      </c>
      <c r="H821" t="s">
        <v>2282</v>
      </c>
    </row>
    <row r="822" spans="1:9" x14ac:dyDescent="0.25">
      <c r="A822" t="str">
        <f>"Z902F836CC"</f>
        <v>Z902F836CC</v>
      </c>
      <c r="B822" t="s">
        <v>9</v>
      </c>
      <c r="C822" t="s">
        <v>2225</v>
      </c>
      <c r="D822" t="s">
        <v>30</v>
      </c>
      <c r="E822" t="s">
        <v>2295</v>
      </c>
      <c r="F822" t="s">
        <v>2295</v>
      </c>
      <c r="G822" t="s">
        <v>345</v>
      </c>
      <c r="H822" t="s">
        <v>2282</v>
      </c>
    </row>
    <row r="823" spans="1:9" x14ac:dyDescent="0.25">
      <c r="A823" t="str">
        <f>"844839299F"</f>
        <v>844839299F</v>
      </c>
      <c r="B823" t="s">
        <v>9</v>
      </c>
      <c r="C823" t="s">
        <v>2296</v>
      </c>
      <c r="D823" t="s">
        <v>11</v>
      </c>
      <c r="E823" t="s">
        <v>2216</v>
      </c>
      <c r="F823" t="s">
        <v>2216</v>
      </c>
      <c r="G823" t="s">
        <v>2297</v>
      </c>
      <c r="H823" t="s">
        <v>2298</v>
      </c>
      <c r="I823" t="s">
        <v>2299</v>
      </c>
    </row>
    <row r="824" spans="1:9" x14ac:dyDescent="0.25">
      <c r="A824" t="str">
        <f>"Z822F837ED"</f>
        <v>Z822F837ED</v>
      </c>
      <c r="B824" t="s">
        <v>9</v>
      </c>
      <c r="C824" t="s">
        <v>2225</v>
      </c>
      <c r="D824" t="s">
        <v>30</v>
      </c>
      <c r="E824" t="s">
        <v>2300</v>
      </c>
      <c r="F824" t="s">
        <v>2300</v>
      </c>
      <c r="G824" t="s">
        <v>1862</v>
      </c>
      <c r="H824" t="s">
        <v>2282</v>
      </c>
    </row>
    <row r="825" spans="1:9" x14ac:dyDescent="0.25">
      <c r="A825" t="str">
        <f>"ZF92F838A0"</f>
        <v>ZF92F838A0</v>
      </c>
      <c r="B825" t="s">
        <v>9</v>
      </c>
      <c r="C825" t="s">
        <v>2225</v>
      </c>
      <c r="D825" t="s">
        <v>30</v>
      </c>
      <c r="E825" t="s">
        <v>2295</v>
      </c>
      <c r="F825" t="s">
        <v>2295</v>
      </c>
      <c r="G825" t="s">
        <v>1391</v>
      </c>
      <c r="H825" t="s">
        <v>2282</v>
      </c>
    </row>
    <row r="826" spans="1:9" x14ac:dyDescent="0.25">
      <c r="A826" t="str">
        <f>"ZCD2F8378D"</f>
        <v>ZCD2F8378D</v>
      </c>
      <c r="B826" t="s">
        <v>9</v>
      </c>
      <c r="C826" t="s">
        <v>2225</v>
      </c>
      <c r="D826" t="s">
        <v>30</v>
      </c>
      <c r="E826" t="s">
        <v>72</v>
      </c>
      <c r="F826" t="s">
        <v>72</v>
      </c>
      <c r="G826" t="s">
        <v>406</v>
      </c>
      <c r="H826" t="s">
        <v>2282</v>
      </c>
    </row>
    <row r="827" spans="1:9" x14ac:dyDescent="0.25">
      <c r="A827" t="str">
        <f>"Z362F82D3F"</f>
        <v>Z362F82D3F</v>
      </c>
      <c r="B827" t="s">
        <v>9</v>
      </c>
      <c r="C827" t="s">
        <v>2301</v>
      </c>
      <c r="D827" t="s">
        <v>24</v>
      </c>
      <c r="E827" t="s">
        <v>2302</v>
      </c>
      <c r="F827" t="s">
        <v>2302</v>
      </c>
      <c r="G827" t="s">
        <v>2303</v>
      </c>
      <c r="H827" t="s">
        <v>2282</v>
      </c>
    </row>
    <row r="828" spans="1:9" x14ac:dyDescent="0.25">
      <c r="A828" t="str">
        <f>"ZE72F835BC"</f>
        <v>ZE72F835BC</v>
      </c>
      <c r="B828" t="s">
        <v>9</v>
      </c>
      <c r="C828" t="s">
        <v>2225</v>
      </c>
      <c r="D828" t="s">
        <v>30</v>
      </c>
      <c r="E828" t="s">
        <v>197</v>
      </c>
      <c r="F828" t="s">
        <v>197</v>
      </c>
      <c r="G828" t="s">
        <v>2304</v>
      </c>
      <c r="H828" t="s">
        <v>2282</v>
      </c>
    </row>
    <row r="829" spans="1:9" x14ac:dyDescent="0.25">
      <c r="A829" t="str">
        <f>"ZEB2EF9CAE"</f>
        <v>ZEB2EF9CAE</v>
      </c>
      <c r="B829" t="s">
        <v>9</v>
      </c>
      <c r="C829" t="s">
        <v>2225</v>
      </c>
      <c r="D829" t="s">
        <v>30</v>
      </c>
      <c r="E829" t="s">
        <v>81</v>
      </c>
      <c r="F829" t="s">
        <v>81</v>
      </c>
      <c r="G829" t="s">
        <v>2305</v>
      </c>
      <c r="H829" t="s">
        <v>2306</v>
      </c>
    </row>
    <row r="830" spans="1:9" x14ac:dyDescent="0.25">
      <c r="A830" t="str">
        <f>"ZAA2EAEFA8"</f>
        <v>ZAA2EAEFA8</v>
      </c>
      <c r="B830" t="s">
        <v>9</v>
      </c>
      <c r="C830" t="s">
        <v>2307</v>
      </c>
      <c r="D830" t="s">
        <v>11</v>
      </c>
      <c r="E830" t="s">
        <v>1958</v>
      </c>
      <c r="F830" t="s">
        <v>1958</v>
      </c>
      <c r="G830" t="s">
        <v>2308</v>
      </c>
      <c r="H830" t="s">
        <v>2309</v>
      </c>
      <c r="I830" t="s">
        <v>2310</v>
      </c>
    </row>
    <row r="831" spans="1:9" x14ac:dyDescent="0.25">
      <c r="A831" t="str">
        <f>"Z1B2F513A2"</f>
        <v>Z1B2F513A2</v>
      </c>
      <c r="B831" t="s">
        <v>9</v>
      </c>
      <c r="C831" t="s">
        <v>2311</v>
      </c>
      <c r="D831" t="s">
        <v>30</v>
      </c>
      <c r="E831" t="s">
        <v>1387</v>
      </c>
      <c r="F831" t="s">
        <v>1387</v>
      </c>
      <c r="G831" t="s">
        <v>2312</v>
      </c>
      <c r="H831" t="s">
        <v>2313</v>
      </c>
      <c r="I831" t="s">
        <v>2312</v>
      </c>
    </row>
    <row r="832" spans="1:9" x14ac:dyDescent="0.25">
      <c r="A832" t="str">
        <f>"Z6D2F497A5"</f>
        <v>Z6D2F497A5</v>
      </c>
      <c r="B832" t="s">
        <v>9</v>
      </c>
      <c r="C832" t="s">
        <v>2314</v>
      </c>
      <c r="D832" t="s">
        <v>30</v>
      </c>
      <c r="E832" t="s">
        <v>2315</v>
      </c>
      <c r="F832" t="s">
        <v>2315</v>
      </c>
      <c r="G832" t="s">
        <v>2316</v>
      </c>
      <c r="H832" t="s">
        <v>2317</v>
      </c>
      <c r="I832" t="s">
        <v>2316</v>
      </c>
    </row>
    <row r="833" spans="1:9" x14ac:dyDescent="0.25">
      <c r="A833" t="str">
        <f>"Z362EE09F2"</f>
        <v>Z362EE09F2</v>
      </c>
      <c r="B833" t="s">
        <v>9</v>
      </c>
      <c r="C833" t="s">
        <v>2318</v>
      </c>
      <c r="D833" t="s">
        <v>30</v>
      </c>
      <c r="E833" t="s">
        <v>101</v>
      </c>
      <c r="F833" t="s">
        <v>101</v>
      </c>
      <c r="G833" t="s">
        <v>2319</v>
      </c>
      <c r="H833" t="s">
        <v>2320</v>
      </c>
    </row>
    <row r="834" spans="1:9" x14ac:dyDescent="0.25">
      <c r="A834" t="str">
        <f>"ZDE2EE0B1B"</f>
        <v>ZDE2EE0B1B</v>
      </c>
      <c r="B834" t="s">
        <v>9</v>
      </c>
      <c r="C834" t="s">
        <v>2318</v>
      </c>
      <c r="D834" t="s">
        <v>30</v>
      </c>
      <c r="E834" t="s">
        <v>101</v>
      </c>
      <c r="F834" t="s">
        <v>101</v>
      </c>
      <c r="G834" t="s">
        <v>1486</v>
      </c>
      <c r="H834" t="s">
        <v>2320</v>
      </c>
    </row>
    <row r="835" spans="1:9" x14ac:dyDescent="0.25">
      <c r="A835" t="str">
        <f>"ZD42EE0A5F"</f>
        <v>ZD42EE0A5F</v>
      </c>
      <c r="B835" t="s">
        <v>9</v>
      </c>
      <c r="C835" t="s">
        <v>2318</v>
      </c>
      <c r="D835" t="s">
        <v>30</v>
      </c>
      <c r="E835" t="s">
        <v>101</v>
      </c>
      <c r="F835" t="s">
        <v>101</v>
      </c>
      <c r="G835" t="s">
        <v>822</v>
      </c>
      <c r="H835" t="s">
        <v>2320</v>
      </c>
    </row>
    <row r="836" spans="1:9" x14ac:dyDescent="0.25">
      <c r="A836" t="str">
        <f>"Z362EE0BE8"</f>
        <v>Z362EE0BE8</v>
      </c>
      <c r="B836" t="s">
        <v>9</v>
      </c>
      <c r="C836" t="s">
        <v>2318</v>
      </c>
      <c r="D836" t="s">
        <v>30</v>
      </c>
      <c r="E836" t="s">
        <v>101</v>
      </c>
      <c r="F836" t="s">
        <v>101</v>
      </c>
      <c r="G836" t="s">
        <v>2321</v>
      </c>
      <c r="H836" t="s">
        <v>2320</v>
      </c>
    </row>
    <row r="837" spans="1:9" x14ac:dyDescent="0.25">
      <c r="A837" t="str">
        <f>"ZE12EE0AEF"</f>
        <v>ZE12EE0AEF</v>
      </c>
      <c r="B837" t="s">
        <v>9</v>
      </c>
      <c r="C837" t="s">
        <v>2318</v>
      </c>
      <c r="D837" t="s">
        <v>30</v>
      </c>
      <c r="E837" t="s">
        <v>101</v>
      </c>
      <c r="F837" t="s">
        <v>101</v>
      </c>
      <c r="G837" t="s">
        <v>2322</v>
      </c>
      <c r="H837" t="s">
        <v>2320</v>
      </c>
    </row>
    <row r="838" spans="1:9" x14ac:dyDescent="0.25">
      <c r="A838" t="str">
        <f>"ZF22EE0A9D"</f>
        <v>ZF22EE0A9D</v>
      </c>
      <c r="B838" t="s">
        <v>9</v>
      </c>
      <c r="C838" t="s">
        <v>2318</v>
      </c>
      <c r="D838" t="s">
        <v>30</v>
      </c>
      <c r="E838" t="s">
        <v>101</v>
      </c>
      <c r="F838" t="s">
        <v>101</v>
      </c>
      <c r="G838" t="s">
        <v>748</v>
      </c>
      <c r="H838" t="s">
        <v>2320</v>
      </c>
    </row>
    <row r="839" spans="1:9" x14ac:dyDescent="0.25">
      <c r="A839" t="str">
        <f>"ZB32EF9E41"</f>
        <v>ZB32EF9E41</v>
      </c>
      <c r="B839" t="s">
        <v>9</v>
      </c>
      <c r="C839" t="s">
        <v>2225</v>
      </c>
      <c r="D839" t="s">
        <v>30</v>
      </c>
      <c r="E839" t="s">
        <v>72</v>
      </c>
      <c r="F839" t="s">
        <v>72</v>
      </c>
      <c r="G839" t="s">
        <v>635</v>
      </c>
      <c r="H839" t="s">
        <v>2323</v>
      </c>
    </row>
    <row r="840" spans="1:9" x14ac:dyDescent="0.25">
      <c r="A840" t="str">
        <f>"Z912EF9DEA"</f>
        <v>Z912EF9DEA</v>
      </c>
      <c r="B840" t="s">
        <v>9</v>
      </c>
      <c r="C840" t="s">
        <v>2225</v>
      </c>
      <c r="D840" t="s">
        <v>30</v>
      </c>
      <c r="E840" t="s">
        <v>72</v>
      </c>
      <c r="F840" t="s">
        <v>72</v>
      </c>
      <c r="G840" t="s">
        <v>2324</v>
      </c>
      <c r="H840" t="s">
        <v>2323</v>
      </c>
    </row>
    <row r="841" spans="1:9" x14ac:dyDescent="0.25">
      <c r="A841" t="str">
        <f>"Z502EF9E0B"</f>
        <v>Z502EF9E0B</v>
      </c>
      <c r="B841" t="s">
        <v>9</v>
      </c>
      <c r="C841" t="s">
        <v>2225</v>
      </c>
      <c r="D841" t="s">
        <v>30</v>
      </c>
      <c r="E841" t="s">
        <v>72</v>
      </c>
      <c r="F841" t="s">
        <v>72</v>
      </c>
      <c r="G841" t="s">
        <v>1140</v>
      </c>
      <c r="H841" t="s">
        <v>2323</v>
      </c>
    </row>
    <row r="842" spans="1:9" x14ac:dyDescent="0.25">
      <c r="A842" t="str">
        <f>"Z372EF9E2B"</f>
        <v>Z372EF9E2B</v>
      </c>
      <c r="B842" t="s">
        <v>9</v>
      </c>
      <c r="C842" t="s">
        <v>2325</v>
      </c>
      <c r="D842" t="s">
        <v>30</v>
      </c>
      <c r="E842" t="s">
        <v>848</v>
      </c>
      <c r="F842" t="s">
        <v>848</v>
      </c>
      <c r="G842" t="s">
        <v>515</v>
      </c>
      <c r="H842" t="s">
        <v>2326</v>
      </c>
      <c r="I842" t="s">
        <v>327</v>
      </c>
    </row>
    <row r="843" spans="1:9" x14ac:dyDescent="0.25">
      <c r="A843" t="str">
        <f>"Z472F0DF2C"</f>
        <v>Z472F0DF2C</v>
      </c>
      <c r="B843" t="s">
        <v>9</v>
      </c>
      <c r="C843" t="s">
        <v>2225</v>
      </c>
      <c r="D843" t="s">
        <v>30</v>
      </c>
      <c r="E843" t="s">
        <v>1929</v>
      </c>
      <c r="F843" t="s">
        <v>1929</v>
      </c>
      <c r="G843" t="s">
        <v>2259</v>
      </c>
      <c r="H843" t="s">
        <v>2327</v>
      </c>
    </row>
    <row r="844" spans="1:9" x14ac:dyDescent="0.25">
      <c r="A844" t="str">
        <f>"Z572F0DF90"</f>
        <v>Z572F0DF90</v>
      </c>
      <c r="B844" t="s">
        <v>9</v>
      </c>
      <c r="C844" t="s">
        <v>2225</v>
      </c>
      <c r="D844" t="s">
        <v>30</v>
      </c>
      <c r="E844" t="s">
        <v>96</v>
      </c>
      <c r="F844" t="s">
        <v>96</v>
      </c>
      <c r="G844" t="s">
        <v>2328</v>
      </c>
      <c r="H844" t="s">
        <v>2327</v>
      </c>
    </row>
    <row r="845" spans="1:9" x14ac:dyDescent="0.25">
      <c r="A845" t="str">
        <f>"Z062F0DF4D"</f>
        <v>Z062F0DF4D</v>
      </c>
      <c r="B845" t="s">
        <v>9</v>
      </c>
      <c r="C845" t="s">
        <v>2225</v>
      </c>
      <c r="D845" t="s">
        <v>30</v>
      </c>
      <c r="E845" t="s">
        <v>1929</v>
      </c>
      <c r="F845" t="s">
        <v>1929</v>
      </c>
      <c r="G845" t="s">
        <v>2329</v>
      </c>
      <c r="H845" t="s">
        <v>2327</v>
      </c>
    </row>
    <row r="846" spans="1:9" x14ac:dyDescent="0.25">
      <c r="A846" t="str">
        <f>"Z482F0DF71"</f>
        <v>Z482F0DF71</v>
      </c>
      <c r="B846" t="s">
        <v>9</v>
      </c>
      <c r="C846" t="s">
        <v>2225</v>
      </c>
      <c r="D846" t="s">
        <v>30</v>
      </c>
      <c r="E846" t="s">
        <v>1846</v>
      </c>
      <c r="F846" t="s">
        <v>1846</v>
      </c>
      <c r="G846" t="s">
        <v>345</v>
      </c>
      <c r="H846" t="s">
        <v>2327</v>
      </c>
    </row>
    <row r="847" spans="1:9" x14ac:dyDescent="0.25">
      <c r="A847" t="str">
        <f>"ZE92F0DFB2"</f>
        <v>ZE92F0DFB2</v>
      </c>
      <c r="B847" t="s">
        <v>9</v>
      </c>
      <c r="C847" t="s">
        <v>2225</v>
      </c>
      <c r="D847" t="s">
        <v>30</v>
      </c>
      <c r="E847" t="s">
        <v>96</v>
      </c>
      <c r="F847" t="s">
        <v>96</v>
      </c>
      <c r="G847" t="s">
        <v>2330</v>
      </c>
      <c r="H847" t="s">
        <v>2327</v>
      </c>
    </row>
    <row r="848" spans="1:9" x14ac:dyDescent="0.25">
      <c r="A848" t="str">
        <f>"Z752F0DFCE"</f>
        <v>Z752F0DFCE</v>
      </c>
      <c r="B848" t="s">
        <v>9</v>
      </c>
      <c r="C848" t="s">
        <v>2225</v>
      </c>
      <c r="D848" t="s">
        <v>30</v>
      </c>
      <c r="E848" t="s">
        <v>96</v>
      </c>
      <c r="F848" t="s">
        <v>96</v>
      </c>
      <c r="G848" t="s">
        <v>231</v>
      </c>
      <c r="H848" t="s">
        <v>2327</v>
      </c>
    </row>
    <row r="849" spans="1:9" x14ac:dyDescent="0.25">
      <c r="A849" t="str">
        <f>"Z8E2EE8F7A"</f>
        <v>Z8E2EE8F7A</v>
      </c>
      <c r="B849" t="s">
        <v>9</v>
      </c>
      <c r="C849" t="s">
        <v>2331</v>
      </c>
      <c r="D849" t="s">
        <v>30</v>
      </c>
      <c r="E849" t="s">
        <v>2270</v>
      </c>
      <c r="F849" t="s">
        <v>2270</v>
      </c>
      <c r="G849" t="s">
        <v>830</v>
      </c>
      <c r="H849" t="s">
        <v>2332</v>
      </c>
      <c r="I849" t="s">
        <v>397</v>
      </c>
    </row>
    <row r="850" spans="1:9" x14ac:dyDescent="0.25">
      <c r="A850" t="str">
        <f>"Z382EF9D75"</f>
        <v>Z382EF9D75</v>
      </c>
      <c r="B850" t="s">
        <v>9</v>
      </c>
      <c r="C850" t="s">
        <v>2225</v>
      </c>
      <c r="D850" t="s">
        <v>30</v>
      </c>
      <c r="E850" t="s">
        <v>233</v>
      </c>
      <c r="F850" t="s">
        <v>233</v>
      </c>
      <c r="G850" t="s">
        <v>231</v>
      </c>
      <c r="H850" t="s">
        <v>2333</v>
      </c>
    </row>
    <row r="851" spans="1:9" x14ac:dyDescent="0.25">
      <c r="A851" t="str">
        <f>"ZDF2EF9390"</f>
        <v>ZDF2EF9390</v>
      </c>
      <c r="B851" t="s">
        <v>9</v>
      </c>
      <c r="C851" t="s">
        <v>2225</v>
      </c>
      <c r="D851" t="s">
        <v>30</v>
      </c>
      <c r="E851" t="s">
        <v>81</v>
      </c>
      <c r="F851" t="s">
        <v>81</v>
      </c>
      <c r="G851" t="s">
        <v>964</v>
      </c>
      <c r="H851" t="s">
        <v>2333</v>
      </c>
    </row>
    <row r="852" spans="1:9" x14ac:dyDescent="0.25">
      <c r="A852" t="str">
        <f>"ZAF2EF9D2D"</f>
        <v>ZAF2EF9D2D</v>
      </c>
      <c r="B852" t="s">
        <v>9</v>
      </c>
      <c r="C852" t="s">
        <v>2225</v>
      </c>
      <c r="D852" t="s">
        <v>30</v>
      </c>
      <c r="E852" t="s">
        <v>96</v>
      </c>
      <c r="F852" t="s">
        <v>96</v>
      </c>
      <c r="G852" t="s">
        <v>2334</v>
      </c>
      <c r="H852" t="s">
        <v>2333</v>
      </c>
    </row>
    <row r="853" spans="1:9" x14ac:dyDescent="0.25">
      <c r="A853" t="str">
        <f>"Z522EF9D9A"</f>
        <v>Z522EF9D9A</v>
      </c>
      <c r="B853" t="s">
        <v>9</v>
      </c>
      <c r="C853" t="s">
        <v>2225</v>
      </c>
      <c r="D853" t="s">
        <v>30</v>
      </c>
      <c r="E853" t="s">
        <v>2335</v>
      </c>
      <c r="F853" t="s">
        <v>2335</v>
      </c>
      <c r="G853" t="s">
        <v>345</v>
      </c>
      <c r="H853" t="s">
        <v>2333</v>
      </c>
    </row>
    <row r="854" spans="1:9" x14ac:dyDescent="0.25">
      <c r="A854" t="str">
        <f>"ZAB2EF9D14"</f>
        <v>ZAB2EF9D14</v>
      </c>
      <c r="B854" t="s">
        <v>9</v>
      </c>
      <c r="C854" t="s">
        <v>2225</v>
      </c>
      <c r="D854" t="s">
        <v>30</v>
      </c>
      <c r="E854" t="s">
        <v>96</v>
      </c>
      <c r="F854" t="s">
        <v>96</v>
      </c>
      <c r="G854" t="s">
        <v>2336</v>
      </c>
      <c r="H854" t="s">
        <v>2333</v>
      </c>
    </row>
    <row r="855" spans="1:9" x14ac:dyDescent="0.25">
      <c r="A855" t="str">
        <f>"ZBC2EF9DBD"</f>
        <v>ZBC2EF9DBD</v>
      </c>
      <c r="B855" t="s">
        <v>9</v>
      </c>
      <c r="C855" t="s">
        <v>2225</v>
      </c>
      <c r="D855" t="s">
        <v>30</v>
      </c>
      <c r="E855" t="s">
        <v>2335</v>
      </c>
      <c r="F855" t="s">
        <v>2335</v>
      </c>
      <c r="G855" t="s">
        <v>2337</v>
      </c>
      <c r="H855" t="s">
        <v>2333</v>
      </c>
    </row>
    <row r="856" spans="1:9" x14ac:dyDescent="0.25">
      <c r="A856" t="str">
        <f>"Z882EE097F"</f>
        <v>Z882EE097F</v>
      </c>
      <c r="B856" t="s">
        <v>9</v>
      </c>
      <c r="C856" t="s">
        <v>2225</v>
      </c>
      <c r="D856" t="s">
        <v>30</v>
      </c>
      <c r="E856" t="s">
        <v>101</v>
      </c>
      <c r="F856" t="s">
        <v>101</v>
      </c>
      <c r="G856" t="s">
        <v>2338</v>
      </c>
      <c r="H856" t="s">
        <v>2339</v>
      </c>
    </row>
    <row r="857" spans="1:9" x14ac:dyDescent="0.25">
      <c r="A857" t="str">
        <f>"Z272ECC354"</f>
        <v>Z272ECC354</v>
      </c>
      <c r="B857" t="s">
        <v>9</v>
      </c>
      <c r="C857" t="s">
        <v>2340</v>
      </c>
      <c r="D857" t="s">
        <v>30</v>
      </c>
      <c r="E857" t="s">
        <v>2341</v>
      </c>
      <c r="F857" t="s">
        <v>2341</v>
      </c>
      <c r="G857" t="s">
        <v>195</v>
      </c>
      <c r="H857" t="s">
        <v>2342</v>
      </c>
    </row>
    <row r="858" spans="1:9" x14ac:dyDescent="0.25">
      <c r="A858" t="str">
        <f>"ZA82E8D3DC"</f>
        <v>ZA82E8D3DC</v>
      </c>
      <c r="B858" t="s">
        <v>9</v>
      </c>
      <c r="C858" t="s">
        <v>2343</v>
      </c>
      <c r="D858" t="s">
        <v>30</v>
      </c>
      <c r="E858" t="s">
        <v>854</v>
      </c>
      <c r="F858" t="s">
        <v>854</v>
      </c>
      <c r="G858" t="s">
        <v>1055</v>
      </c>
      <c r="H858" t="s">
        <v>2342</v>
      </c>
      <c r="I858" t="s">
        <v>2344</v>
      </c>
    </row>
    <row r="859" spans="1:9" x14ac:dyDescent="0.25">
      <c r="A859" t="str">
        <f>"Z112EA3068"</f>
        <v>Z112EA3068</v>
      </c>
      <c r="B859" t="s">
        <v>9</v>
      </c>
      <c r="C859" t="s">
        <v>2345</v>
      </c>
      <c r="D859" t="s">
        <v>30</v>
      </c>
      <c r="E859" t="s">
        <v>2008</v>
      </c>
      <c r="F859" t="s">
        <v>2008</v>
      </c>
      <c r="G859" t="s">
        <v>2346</v>
      </c>
      <c r="H859" t="s">
        <v>2347</v>
      </c>
      <c r="I859" t="s">
        <v>2346</v>
      </c>
    </row>
    <row r="860" spans="1:9" x14ac:dyDescent="0.25">
      <c r="A860" t="str">
        <f>"Z5A2EA140A"</f>
        <v>Z5A2EA140A</v>
      </c>
      <c r="B860" t="s">
        <v>9</v>
      </c>
      <c r="C860" t="s">
        <v>2348</v>
      </c>
      <c r="D860" t="s">
        <v>30</v>
      </c>
      <c r="E860" t="s">
        <v>2349</v>
      </c>
      <c r="F860" t="s">
        <v>2349</v>
      </c>
      <c r="G860" t="s">
        <v>2350</v>
      </c>
      <c r="H860" t="s">
        <v>2347</v>
      </c>
      <c r="I860" t="s">
        <v>2350</v>
      </c>
    </row>
    <row r="861" spans="1:9" x14ac:dyDescent="0.25">
      <c r="A861" t="str">
        <f>"Z4E2EA12C4"</f>
        <v>Z4E2EA12C4</v>
      </c>
      <c r="B861" t="s">
        <v>9</v>
      </c>
      <c r="C861" t="s">
        <v>2351</v>
      </c>
      <c r="D861" t="s">
        <v>30</v>
      </c>
      <c r="E861" t="s">
        <v>2349</v>
      </c>
      <c r="F861" t="s">
        <v>2349</v>
      </c>
      <c r="G861" t="s">
        <v>868</v>
      </c>
      <c r="H861" t="s">
        <v>2347</v>
      </c>
      <c r="I861" t="s">
        <v>868</v>
      </c>
    </row>
    <row r="862" spans="1:9" x14ac:dyDescent="0.25">
      <c r="A862" t="str">
        <f>"Z902E62201"</f>
        <v>Z902E62201</v>
      </c>
      <c r="B862" t="s">
        <v>9</v>
      </c>
      <c r="C862" t="s">
        <v>2352</v>
      </c>
      <c r="D862" t="s">
        <v>30</v>
      </c>
      <c r="E862" t="s">
        <v>2353</v>
      </c>
      <c r="F862" t="s">
        <v>2353</v>
      </c>
      <c r="G862" t="s">
        <v>718</v>
      </c>
      <c r="H862" t="s">
        <v>2354</v>
      </c>
      <c r="I862" t="s">
        <v>1036</v>
      </c>
    </row>
    <row r="863" spans="1:9" x14ac:dyDescent="0.25">
      <c r="A863" t="str">
        <f>"Z222E2C2F5"</f>
        <v>Z222E2C2F5</v>
      </c>
      <c r="B863" t="s">
        <v>9</v>
      </c>
      <c r="C863" t="s">
        <v>2355</v>
      </c>
      <c r="D863" t="s">
        <v>20</v>
      </c>
      <c r="E863" t="s">
        <v>181</v>
      </c>
      <c r="F863" t="s">
        <v>181</v>
      </c>
      <c r="G863" t="s">
        <v>2356</v>
      </c>
      <c r="H863" t="s">
        <v>2357</v>
      </c>
    </row>
    <row r="864" spans="1:9" x14ac:dyDescent="0.25">
      <c r="A864" t="str">
        <f>"Z6C2E1CC37"</f>
        <v>Z6C2E1CC37</v>
      </c>
      <c r="B864" t="s">
        <v>9</v>
      </c>
      <c r="C864" t="s">
        <v>2358</v>
      </c>
      <c r="D864" t="s">
        <v>30</v>
      </c>
      <c r="E864" t="s">
        <v>2192</v>
      </c>
      <c r="F864" t="s">
        <v>2192</v>
      </c>
      <c r="G864" t="s">
        <v>2051</v>
      </c>
      <c r="H864" t="s">
        <v>2359</v>
      </c>
    </row>
    <row r="865" spans="1:9" x14ac:dyDescent="0.25">
      <c r="A865" t="str">
        <f>"Z552E170B7"</f>
        <v>Z552E170B7</v>
      </c>
      <c r="B865" t="s">
        <v>9</v>
      </c>
      <c r="C865" t="s">
        <v>2360</v>
      </c>
      <c r="D865" t="s">
        <v>11</v>
      </c>
      <c r="E865" t="s">
        <v>2361</v>
      </c>
      <c r="F865" t="s">
        <v>2361</v>
      </c>
      <c r="G865" t="s">
        <v>2362</v>
      </c>
      <c r="H865" t="s">
        <v>2363</v>
      </c>
    </row>
    <row r="866" spans="1:9" x14ac:dyDescent="0.25">
      <c r="A866" t="str">
        <f>"ZCD2C0F84A"</f>
        <v>ZCD2C0F84A</v>
      </c>
      <c r="B866" t="s">
        <v>9</v>
      </c>
      <c r="C866" t="s">
        <v>2364</v>
      </c>
      <c r="D866" t="s">
        <v>30</v>
      </c>
      <c r="E866" t="s">
        <v>489</v>
      </c>
      <c r="F866" t="s">
        <v>489</v>
      </c>
      <c r="G866" t="s">
        <v>2365</v>
      </c>
      <c r="H866" t="s">
        <v>2366</v>
      </c>
      <c r="I866" t="s">
        <v>2367</v>
      </c>
    </row>
    <row r="867" spans="1:9" x14ac:dyDescent="0.25">
      <c r="A867" t="str">
        <f>"Z202D93B03"</f>
        <v>Z202D93B03</v>
      </c>
      <c r="B867" t="s">
        <v>9</v>
      </c>
      <c r="C867" t="s">
        <v>2368</v>
      </c>
      <c r="D867" t="s">
        <v>30</v>
      </c>
      <c r="E867" t="s">
        <v>2369</v>
      </c>
      <c r="F867" t="s">
        <v>2369</v>
      </c>
      <c r="G867" t="s">
        <v>2370</v>
      </c>
      <c r="H867" t="s">
        <v>2371</v>
      </c>
      <c r="I867" t="s">
        <v>397</v>
      </c>
    </row>
    <row r="868" spans="1:9" x14ac:dyDescent="0.25">
      <c r="A868" t="str">
        <f>"ZF12D4A8C7"</f>
        <v>ZF12D4A8C7</v>
      </c>
      <c r="B868" t="s">
        <v>9</v>
      </c>
      <c r="C868" t="s">
        <v>2372</v>
      </c>
      <c r="D868" t="s">
        <v>30</v>
      </c>
      <c r="E868" t="s">
        <v>2373</v>
      </c>
      <c r="F868" t="s">
        <v>2373</v>
      </c>
      <c r="G868" t="s">
        <v>2374</v>
      </c>
      <c r="H868" t="s">
        <v>2375</v>
      </c>
      <c r="I868" t="s">
        <v>2376</v>
      </c>
    </row>
    <row r="869" spans="1:9" x14ac:dyDescent="0.25">
      <c r="A869" t="str">
        <f>"Z652D3A284"</f>
        <v>Z652D3A284</v>
      </c>
      <c r="B869" t="s">
        <v>9</v>
      </c>
      <c r="C869" t="s">
        <v>2377</v>
      </c>
      <c r="D869" t="s">
        <v>30</v>
      </c>
      <c r="E869" t="s">
        <v>96</v>
      </c>
      <c r="F869" t="s">
        <v>96</v>
      </c>
      <c r="G869" t="s">
        <v>2378</v>
      </c>
      <c r="H869" t="s">
        <v>2379</v>
      </c>
    </row>
    <row r="870" spans="1:9" x14ac:dyDescent="0.25">
      <c r="A870" t="str">
        <f>"8225450013"</f>
        <v>8225450013</v>
      </c>
      <c r="B870" t="s">
        <v>9</v>
      </c>
      <c r="C870" t="s">
        <v>2380</v>
      </c>
      <c r="D870" t="s">
        <v>20</v>
      </c>
      <c r="E870" t="s">
        <v>2381</v>
      </c>
      <c r="F870" t="s">
        <v>2382</v>
      </c>
      <c r="G870" t="s">
        <v>397</v>
      </c>
      <c r="H870" t="s">
        <v>2383</v>
      </c>
      <c r="I870" t="s">
        <v>2384</v>
      </c>
    </row>
    <row r="871" spans="1:9" x14ac:dyDescent="0.25">
      <c r="A871" t="str">
        <f>"Z422CADD9D"</f>
        <v>Z422CADD9D</v>
      </c>
      <c r="B871" t="s">
        <v>9</v>
      </c>
      <c r="C871" t="s">
        <v>2225</v>
      </c>
      <c r="D871" t="s">
        <v>30</v>
      </c>
      <c r="E871" t="s">
        <v>96</v>
      </c>
      <c r="F871" t="s">
        <v>96</v>
      </c>
      <c r="G871" t="s">
        <v>2385</v>
      </c>
      <c r="H871" t="s">
        <v>2386</v>
      </c>
    </row>
    <row r="872" spans="1:9" x14ac:dyDescent="0.25">
      <c r="A872" t="str">
        <f>"ZA82CADDA7"</f>
        <v>ZA82CADDA7</v>
      </c>
      <c r="B872" t="s">
        <v>9</v>
      </c>
      <c r="C872" t="s">
        <v>2225</v>
      </c>
      <c r="D872" t="s">
        <v>30</v>
      </c>
      <c r="E872" t="s">
        <v>1846</v>
      </c>
      <c r="F872" t="s">
        <v>1846</v>
      </c>
      <c r="G872" t="s">
        <v>2387</v>
      </c>
      <c r="H872" t="s">
        <v>2386</v>
      </c>
    </row>
    <row r="873" spans="1:9" x14ac:dyDescent="0.25">
      <c r="A873" t="str">
        <f>"Z542CA05DC"</f>
        <v>Z542CA05DC</v>
      </c>
      <c r="B873" t="s">
        <v>9</v>
      </c>
      <c r="C873" t="s">
        <v>2225</v>
      </c>
      <c r="D873" t="s">
        <v>30</v>
      </c>
      <c r="E873" t="s">
        <v>52</v>
      </c>
      <c r="F873" t="s">
        <v>52</v>
      </c>
      <c r="G873" t="s">
        <v>2388</v>
      </c>
      <c r="H873" t="s">
        <v>2389</v>
      </c>
    </row>
    <row r="874" spans="1:9" x14ac:dyDescent="0.25">
      <c r="A874" t="str">
        <f>"Z432C47399"</f>
        <v>Z432C47399</v>
      </c>
      <c r="B874" t="s">
        <v>9</v>
      </c>
      <c r="C874" t="s">
        <v>2390</v>
      </c>
      <c r="D874" t="s">
        <v>30</v>
      </c>
      <c r="E874" t="s">
        <v>2391</v>
      </c>
      <c r="F874" t="s">
        <v>2391</v>
      </c>
      <c r="G874" t="s">
        <v>2392</v>
      </c>
      <c r="H874" t="s">
        <v>2393</v>
      </c>
      <c r="I874" t="s">
        <v>2394</v>
      </c>
    </row>
    <row r="875" spans="1:9" x14ac:dyDescent="0.25">
      <c r="A875" t="str">
        <f>"Z022C61859"</f>
        <v>Z022C61859</v>
      </c>
      <c r="B875" t="s">
        <v>9</v>
      </c>
      <c r="C875" t="s">
        <v>2395</v>
      </c>
      <c r="D875" t="s">
        <v>30</v>
      </c>
      <c r="E875" t="s">
        <v>2396</v>
      </c>
      <c r="F875" t="s">
        <v>2397</v>
      </c>
      <c r="G875" t="s">
        <v>2398</v>
      </c>
      <c r="H875" t="s">
        <v>2399</v>
      </c>
      <c r="I875" t="s">
        <v>397</v>
      </c>
    </row>
    <row r="876" spans="1:9" x14ac:dyDescent="0.25">
      <c r="A876" t="str">
        <f>"Z4C2C3C58A"</f>
        <v>Z4C2C3C58A</v>
      </c>
      <c r="B876" t="s">
        <v>9</v>
      </c>
      <c r="C876" t="s">
        <v>2400</v>
      </c>
      <c r="D876" t="s">
        <v>30</v>
      </c>
      <c r="E876" t="s">
        <v>1921</v>
      </c>
      <c r="F876" t="s">
        <v>1921</v>
      </c>
      <c r="G876" t="s">
        <v>2401</v>
      </c>
      <c r="H876" t="s">
        <v>2402</v>
      </c>
      <c r="I876" t="s">
        <v>2403</v>
      </c>
    </row>
    <row r="877" spans="1:9" x14ac:dyDescent="0.25">
      <c r="A877" t="str">
        <f>"804369289E"</f>
        <v>804369289E</v>
      </c>
      <c r="B877" t="s">
        <v>9</v>
      </c>
      <c r="C877" t="s">
        <v>2404</v>
      </c>
      <c r="D877" t="s">
        <v>11</v>
      </c>
      <c r="E877" t="s">
        <v>1958</v>
      </c>
      <c r="F877" t="s">
        <v>1958</v>
      </c>
      <c r="G877" t="s">
        <v>2405</v>
      </c>
      <c r="H877" t="s">
        <v>2406</v>
      </c>
      <c r="I877" t="s">
        <v>2407</v>
      </c>
    </row>
    <row r="878" spans="1:9" x14ac:dyDescent="0.25">
      <c r="A878" t="str">
        <f>"Z3D2BCA1D3"</f>
        <v>Z3D2BCA1D3</v>
      </c>
      <c r="B878" t="s">
        <v>9</v>
      </c>
      <c r="C878" t="s">
        <v>2225</v>
      </c>
      <c r="D878" t="s">
        <v>30</v>
      </c>
      <c r="E878" t="s">
        <v>2408</v>
      </c>
      <c r="F878" t="s">
        <v>2408</v>
      </c>
      <c r="G878" t="s">
        <v>2409</v>
      </c>
      <c r="H878" t="s">
        <v>2410</v>
      </c>
    </row>
    <row r="879" spans="1:9" x14ac:dyDescent="0.25">
      <c r="A879" t="str">
        <f>"ZE42BAD6E0"</f>
        <v>ZE42BAD6E0</v>
      </c>
      <c r="B879" t="s">
        <v>9</v>
      </c>
      <c r="C879" t="s">
        <v>2225</v>
      </c>
      <c r="D879" t="s">
        <v>30</v>
      </c>
      <c r="E879" t="s">
        <v>52</v>
      </c>
      <c r="F879" t="s">
        <v>52</v>
      </c>
      <c r="G879" t="s">
        <v>2411</v>
      </c>
      <c r="H879" t="s">
        <v>2412</v>
      </c>
    </row>
    <row r="880" spans="1:9" x14ac:dyDescent="0.25">
      <c r="A880" t="str">
        <f>"Z552B97695"</f>
        <v>Z552B97695</v>
      </c>
      <c r="B880" t="s">
        <v>9</v>
      </c>
      <c r="C880" t="s">
        <v>2413</v>
      </c>
      <c r="D880" t="s">
        <v>30</v>
      </c>
      <c r="E880" t="s">
        <v>2414</v>
      </c>
      <c r="F880" t="s">
        <v>2414</v>
      </c>
      <c r="G880" t="s">
        <v>2415</v>
      </c>
      <c r="H880" t="s">
        <v>2416</v>
      </c>
      <c r="I880" t="s">
        <v>2175</v>
      </c>
    </row>
    <row r="881" spans="1:9" x14ac:dyDescent="0.25">
      <c r="A881" t="str">
        <f>"Z552F8359A"</f>
        <v>Z552F8359A</v>
      </c>
      <c r="B881" t="s">
        <v>9</v>
      </c>
      <c r="C881" t="s">
        <v>2225</v>
      </c>
      <c r="D881" t="s">
        <v>30</v>
      </c>
      <c r="E881" t="s">
        <v>197</v>
      </c>
      <c r="F881" t="s">
        <v>197</v>
      </c>
      <c r="G881" t="s">
        <v>2417</v>
      </c>
      <c r="H881" t="s">
        <v>2418</v>
      </c>
    </row>
    <row r="882" spans="1:9" x14ac:dyDescent="0.25">
      <c r="A882" t="str">
        <f>"ZDC2916BE4"</f>
        <v>ZDC2916BE4</v>
      </c>
      <c r="B882" t="s">
        <v>9</v>
      </c>
      <c r="C882" t="s">
        <v>2419</v>
      </c>
      <c r="D882" t="s">
        <v>20</v>
      </c>
      <c r="E882" t="s">
        <v>2420</v>
      </c>
      <c r="F882" t="s">
        <v>2421</v>
      </c>
      <c r="G882" t="s">
        <v>2422</v>
      </c>
      <c r="H882" t="s">
        <v>2423</v>
      </c>
      <c r="I882" t="s">
        <v>2424</v>
      </c>
    </row>
    <row r="883" spans="1:9" x14ac:dyDescent="0.25">
      <c r="A883" t="str">
        <f>"Z482699949"</f>
        <v>Z482699949</v>
      </c>
      <c r="B883" t="s">
        <v>9</v>
      </c>
      <c r="C883" t="s">
        <v>2425</v>
      </c>
      <c r="D883" t="s">
        <v>30</v>
      </c>
      <c r="E883" t="s">
        <v>222</v>
      </c>
      <c r="F883" t="s">
        <v>222</v>
      </c>
      <c r="G883" t="s">
        <v>2426</v>
      </c>
      <c r="H883" t="s">
        <v>2427</v>
      </c>
      <c r="I883" t="s">
        <v>2428</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AVCP2022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Utente Windows</cp:lastModifiedBy>
  <dcterms:created xsi:type="dcterms:W3CDTF">2023-01-26T10:29:06Z</dcterms:created>
  <dcterms:modified xsi:type="dcterms:W3CDTF">2023-01-26T10:31:27Z</dcterms:modified>
</cp:coreProperties>
</file>